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5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6.xml" ContentType="application/vnd.openxmlformats-officedocument.drawing+xml"/>
  <Override PartName="/xl/charts/chart1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D:\Source\##### 완료아이템\(014) GroupWare\Source\SubProject\FPJ0000\EBoard\"/>
    </mc:Choice>
  </mc:AlternateContent>
  <xr:revisionPtr revIDLastSave="0" documentId="8_{A1E60345-9049-4821-AD05-1FCFB72D150A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Daily" sheetId="2" r:id="rId1"/>
    <sheet name="E-Board" sheetId="16" r:id="rId2"/>
    <sheet name="Weekly Performance" sheetId="6" r:id="rId3"/>
    <sheet name="Monthly Performance" sheetId="7" r:id="rId4"/>
    <sheet name="Yearly Performance" sheetId="15" r:id="rId5"/>
    <sheet name="자체.외주수리비율" sheetId="5" r:id="rId6"/>
    <sheet name="Ionizer" sheetId="4" r:id="rId7"/>
    <sheet name="강영구sum" sheetId="8" r:id="rId8"/>
    <sheet name="장은철sum" sheetId="9" r:id="rId9"/>
    <sheet name="허준영sum" sheetId="10" r:id="rId10"/>
    <sheet name="박병대sum" sheetId="11" r:id="rId11"/>
    <sheet name="최준영sum" sheetId="12" r:id="rId12"/>
    <sheet name="정기수sum" sheetId="18" r:id="rId13"/>
  </sheets>
  <definedNames>
    <definedName name="_xlnm._FilterDatabase" localSheetId="0" hidden="1">Daily!$A$1:$AA$1823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" i="6" l="1"/>
  <c r="Z895" i="2" l="1"/>
  <c r="G3" i="2" l="1"/>
  <c r="H3" i="2"/>
  <c r="G4" i="2"/>
  <c r="H4" i="2"/>
  <c r="G5" i="2"/>
  <c r="H5" i="2"/>
  <c r="G6" i="2"/>
  <c r="H6" i="2"/>
  <c r="G7" i="2"/>
  <c r="H7" i="2"/>
  <c r="G8" i="2"/>
  <c r="H8" i="2"/>
  <c r="G9" i="2"/>
  <c r="H9" i="2"/>
  <c r="G10" i="2"/>
  <c r="H10" i="2"/>
  <c r="G11" i="2"/>
  <c r="H11" i="2"/>
  <c r="G12" i="2"/>
  <c r="H12" i="2"/>
  <c r="G13" i="2"/>
  <c r="H13" i="2"/>
  <c r="G14" i="2"/>
  <c r="H14" i="2"/>
  <c r="G15" i="2"/>
  <c r="H15" i="2"/>
  <c r="G16" i="2"/>
  <c r="H16" i="2"/>
  <c r="G17" i="2"/>
  <c r="H17" i="2"/>
  <c r="G18" i="2"/>
  <c r="H18" i="2"/>
  <c r="G19" i="2"/>
  <c r="H19" i="2"/>
  <c r="G20" i="2"/>
  <c r="H20" i="2"/>
  <c r="G21" i="2"/>
  <c r="H21" i="2"/>
  <c r="G22" i="2"/>
  <c r="H22" i="2"/>
  <c r="G23" i="2"/>
  <c r="H23" i="2"/>
  <c r="G24" i="2"/>
  <c r="H24" i="2"/>
  <c r="G25" i="2"/>
  <c r="H25" i="2"/>
  <c r="G26" i="2"/>
  <c r="H26" i="2"/>
  <c r="G27" i="2"/>
  <c r="H27" i="2"/>
  <c r="G28" i="2"/>
  <c r="H28" i="2"/>
  <c r="G29" i="2"/>
  <c r="H29" i="2"/>
  <c r="G30" i="2"/>
  <c r="H30" i="2"/>
  <c r="G31" i="2"/>
  <c r="H31" i="2"/>
  <c r="G32" i="2"/>
  <c r="H32" i="2"/>
  <c r="G33" i="2"/>
  <c r="H33" i="2"/>
  <c r="G34" i="2"/>
  <c r="H34" i="2"/>
  <c r="G35" i="2"/>
  <c r="H35" i="2"/>
  <c r="G36" i="2"/>
  <c r="H36" i="2"/>
  <c r="G37" i="2"/>
  <c r="H37" i="2"/>
  <c r="G38" i="2"/>
  <c r="H38" i="2"/>
  <c r="G39" i="2"/>
  <c r="H39" i="2"/>
  <c r="G40" i="2"/>
  <c r="H40" i="2"/>
  <c r="G41" i="2"/>
  <c r="H41" i="2"/>
  <c r="G42" i="2"/>
  <c r="H42" i="2"/>
  <c r="G43" i="2"/>
  <c r="H43" i="2"/>
  <c r="G44" i="2"/>
  <c r="H44" i="2"/>
  <c r="G45" i="2"/>
  <c r="H45" i="2"/>
  <c r="G46" i="2"/>
  <c r="H46" i="2"/>
  <c r="G47" i="2"/>
  <c r="H47" i="2"/>
  <c r="G48" i="2"/>
  <c r="H48" i="2"/>
  <c r="G49" i="2"/>
  <c r="H49" i="2"/>
  <c r="G50" i="2"/>
  <c r="H50" i="2"/>
  <c r="G51" i="2"/>
  <c r="H51" i="2"/>
  <c r="G52" i="2"/>
  <c r="H52" i="2"/>
  <c r="G53" i="2"/>
  <c r="H53" i="2"/>
  <c r="G54" i="2"/>
  <c r="H54" i="2"/>
  <c r="G55" i="2"/>
  <c r="H55" i="2"/>
  <c r="G56" i="2"/>
  <c r="H56" i="2"/>
  <c r="G57" i="2"/>
  <c r="H57" i="2"/>
  <c r="G58" i="2"/>
  <c r="H58" i="2"/>
  <c r="G59" i="2"/>
  <c r="H59" i="2"/>
  <c r="G60" i="2"/>
  <c r="H60" i="2"/>
  <c r="G61" i="2"/>
  <c r="H61" i="2"/>
  <c r="G62" i="2"/>
  <c r="H62" i="2"/>
  <c r="G63" i="2"/>
  <c r="H63" i="2"/>
  <c r="G64" i="2"/>
  <c r="H64" i="2"/>
  <c r="G65" i="2"/>
  <c r="H65" i="2"/>
  <c r="G66" i="2"/>
  <c r="H66" i="2"/>
  <c r="G67" i="2"/>
  <c r="H67" i="2"/>
  <c r="G68" i="2"/>
  <c r="H68" i="2"/>
  <c r="G69" i="2"/>
  <c r="H69" i="2"/>
  <c r="G70" i="2"/>
  <c r="H70" i="2"/>
  <c r="G71" i="2"/>
  <c r="H71" i="2"/>
  <c r="G72" i="2"/>
  <c r="H72" i="2"/>
  <c r="G73" i="2"/>
  <c r="H73" i="2"/>
  <c r="G74" i="2"/>
  <c r="H74" i="2"/>
  <c r="G75" i="2"/>
  <c r="H75" i="2"/>
  <c r="G76" i="2"/>
  <c r="H76" i="2"/>
  <c r="G77" i="2"/>
  <c r="H77" i="2"/>
  <c r="G78" i="2"/>
  <c r="H78" i="2"/>
  <c r="G79" i="2"/>
  <c r="H79" i="2"/>
  <c r="G80" i="2"/>
  <c r="H80" i="2"/>
  <c r="G81" i="2"/>
  <c r="H81" i="2"/>
  <c r="G82" i="2"/>
  <c r="H82" i="2"/>
  <c r="G83" i="2"/>
  <c r="H83" i="2"/>
  <c r="G84" i="2"/>
  <c r="H84" i="2"/>
  <c r="G85" i="2"/>
  <c r="H85" i="2"/>
  <c r="G86" i="2"/>
  <c r="H86" i="2"/>
  <c r="G87" i="2"/>
  <c r="H87" i="2"/>
  <c r="G88" i="2"/>
  <c r="H88" i="2"/>
  <c r="G89" i="2"/>
  <c r="H89" i="2"/>
  <c r="G90" i="2"/>
  <c r="H90" i="2"/>
  <c r="G91" i="2"/>
  <c r="H91" i="2"/>
  <c r="G92" i="2"/>
  <c r="H92" i="2"/>
  <c r="G93" i="2"/>
  <c r="H93" i="2"/>
  <c r="G94" i="2"/>
  <c r="H94" i="2"/>
  <c r="G95" i="2"/>
  <c r="H95" i="2"/>
  <c r="G96" i="2"/>
  <c r="H96" i="2"/>
  <c r="G97" i="2"/>
  <c r="H97" i="2"/>
  <c r="G98" i="2"/>
  <c r="H98" i="2"/>
  <c r="G99" i="2"/>
  <c r="H99" i="2"/>
  <c r="G100" i="2"/>
  <c r="H100" i="2"/>
  <c r="G101" i="2"/>
  <c r="H101" i="2"/>
  <c r="G102" i="2"/>
  <c r="H102" i="2"/>
  <c r="G103" i="2"/>
  <c r="H103" i="2"/>
  <c r="G104" i="2"/>
  <c r="H104" i="2"/>
  <c r="G105" i="2"/>
  <c r="H105" i="2"/>
  <c r="G106" i="2"/>
  <c r="H106" i="2"/>
  <c r="G107" i="2"/>
  <c r="H107" i="2"/>
  <c r="G108" i="2"/>
  <c r="H108" i="2"/>
  <c r="G109" i="2"/>
  <c r="H109" i="2"/>
  <c r="G110" i="2"/>
  <c r="H110" i="2"/>
  <c r="G111" i="2"/>
  <c r="H111" i="2"/>
  <c r="G112" i="2"/>
  <c r="H112" i="2"/>
  <c r="G113" i="2"/>
  <c r="H113" i="2"/>
  <c r="G114" i="2"/>
  <c r="H114" i="2"/>
  <c r="G115" i="2"/>
  <c r="H115" i="2"/>
  <c r="G116" i="2"/>
  <c r="H116" i="2"/>
  <c r="G117" i="2"/>
  <c r="H117" i="2"/>
  <c r="G118" i="2"/>
  <c r="H118" i="2"/>
  <c r="G119" i="2"/>
  <c r="H119" i="2"/>
  <c r="G120" i="2"/>
  <c r="H120" i="2"/>
  <c r="G121" i="2"/>
  <c r="H121" i="2"/>
  <c r="G122" i="2"/>
  <c r="H122" i="2"/>
  <c r="G123" i="2"/>
  <c r="H123" i="2"/>
  <c r="G124" i="2"/>
  <c r="H124" i="2"/>
  <c r="G125" i="2"/>
  <c r="H125" i="2"/>
  <c r="G126" i="2"/>
  <c r="H126" i="2"/>
  <c r="G127" i="2"/>
  <c r="H127" i="2"/>
  <c r="G128" i="2"/>
  <c r="H128" i="2"/>
  <c r="G129" i="2"/>
  <c r="H129" i="2"/>
  <c r="G130" i="2"/>
  <c r="H130" i="2"/>
  <c r="G131" i="2"/>
  <c r="H131" i="2"/>
  <c r="G132" i="2"/>
  <c r="H132" i="2"/>
  <c r="G133" i="2"/>
  <c r="H133" i="2"/>
  <c r="G134" i="2"/>
  <c r="H134" i="2"/>
  <c r="G135" i="2"/>
  <c r="H135" i="2"/>
  <c r="G136" i="2"/>
  <c r="H136" i="2"/>
  <c r="G137" i="2"/>
  <c r="H137" i="2"/>
  <c r="G138" i="2"/>
  <c r="H138" i="2"/>
  <c r="G139" i="2"/>
  <c r="H139" i="2"/>
  <c r="G140" i="2"/>
  <c r="H140" i="2"/>
  <c r="G141" i="2"/>
  <c r="H141" i="2"/>
  <c r="G142" i="2"/>
  <c r="H142" i="2"/>
  <c r="G143" i="2"/>
  <c r="H143" i="2"/>
  <c r="G144" i="2"/>
  <c r="H144" i="2"/>
  <c r="G145" i="2"/>
  <c r="H145" i="2"/>
  <c r="G146" i="2"/>
  <c r="H146" i="2"/>
  <c r="G147" i="2"/>
  <c r="H147" i="2"/>
  <c r="G148" i="2"/>
  <c r="H148" i="2"/>
  <c r="G149" i="2"/>
  <c r="H149" i="2"/>
  <c r="G150" i="2"/>
  <c r="H150" i="2"/>
  <c r="G151" i="2"/>
  <c r="H151" i="2"/>
  <c r="G152" i="2"/>
  <c r="H152" i="2"/>
  <c r="G153" i="2"/>
  <c r="H153" i="2"/>
  <c r="G154" i="2"/>
  <c r="H154" i="2"/>
  <c r="G155" i="2"/>
  <c r="H155" i="2"/>
  <c r="G156" i="2"/>
  <c r="H156" i="2"/>
  <c r="G157" i="2"/>
  <c r="H157" i="2"/>
  <c r="G158" i="2"/>
  <c r="H158" i="2"/>
  <c r="G159" i="2"/>
  <c r="H159" i="2"/>
  <c r="G160" i="2"/>
  <c r="H160" i="2"/>
  <c r="G161" i="2"/>
  <c r="H161" i="2"/>
  <c r="G162" i="2"/>
  <c r="H162" i="2"/>
  <c r="G163" i="2"/>
  <c r="H163" i="2"/>
  <c r="G164" i="2"/>
  <c r="H164" i="2"/>
  <c r="G165" i="2"/>
  <c r="H165" i="2"/>
  <c r="G166" i="2"/>
  <c r="H166" i="2"/>
  <c r="G167" i="2"/>
  <c r="H167" i="2"/>
  <c r="G168" i="2"/>
  <c r="H168" i="2"/>
  <c r="G169" i="2"/>
  <c r="H169" i="2"/>
  <c r="G170" i="2"/>
  <c r="H170" i="2"/>
  <c r="G171" i="2"/>
  <c r="H171" i="2"/>
  <c r="G172" i="2"/>
  <c r="H172" i="2"/>
  <c r="G173" i="2"/>
  <c r="H173" i="2"/>
  <c r="G174" i="2"/>
  <c r="H174" i="2"/>
  <c r="G175" i="2"/>
  <c r="H175" i="2"/>
  <c r="G176" i="2"/>
  <c r="H176" i="2"/>
  <c r="G177" i="2"/>
  <c r="H177" i="2"/>
  <c r="G178" i="2"/>
  <c r="H178" i="2"/>
  <c r="G179" i="2"/>
  <c r="H179" i="2"/>
  <c r="G180" i="2"/>
  <c r="H180" i="2"/>
  <c r="G181" i="2"/>
  <c r="H181" i="2"/>
  <c r="G182" i="2"/>
  <c r="H182" i="2"/>
  <c r="G183" i="2"/>
  <c r="H183" i="2"/>
  <c r="G184" i="2"/>
  <c r="H184" i="2"/>
  <c r="G185" i="2"/>
  <c r="H185" i="2"/>
  <c r="G186" i="2"/>
  <c r="H186" i="2"/>
  <c r="G187" i="2"/>
  <c r="H187" i="2"/>
  <c r="G188" i="2"/>
  <c r="H188" i="2"/>
  <c r="G189" i="2"/>
  <c r="H189" i="2"/>
  <c r="G190" i="2"/>
  <c r="H190" i="2"/>
  <c r="G191" i="2"/>
  <c r="H191" i="2"/>
  <c r="G192" i="2"/>
  <c r="H192" i="2"/>
  <c r="G193" i="2"/>
  <c r="H193" i="2"/>
  <c r="G194" i="2"/>
  <c r="H194" i="2"/>
  <c r="G195" i="2"/>
  <c r="H195" i="2"/>
  <c r="G196" i="2"/>
  <c r="H196" i="2"/>
  <c r="G197" i="2"/>
  <c r="H197" i="2"/>
  <c r="G198" i="2"/>
  <c r="H198" i="2"/>
  <c r="G199" i="2"/>
  <c r="H199" i="2"/>
  <c r="G200" i="2"/>
  <c r="H200" i="2"/>
  <c r="G201" i="2"/>
  <c r="H201" i="2"/>
  <c r="G202" i="2"/>
  <c r="H202" i="2"/>
  <c r="G203" i="2"/>
  <c r="H203" i="2"/>
  <c r="G204" i="2"/>
  <c r="H204" i="2"/>
  <c r="G205" i="2"/>
  <c r="H205" i="2"/>
  <c r="G206" i="2"/>
  <c r="H206" i="2"/>
  <c r="G207" i="2"/>
  <c r="H207" i="2"/>
  <c r="G208" i="2"/>
  <c r="H208" i="2"/>
  <c r="G209" i="2"/>
  <c r="H209" i="2"/>
  <c r="G210" i="2"/>
  <c r="H210" i="2"/>
  <c r="G211" i="2"/>
  <c r="H211" i="2"/>
  <c r="G212" i="2"/>
  <c r="H212" i="2"/>
  <c r="G213" i="2"/>
  <c r="H213" i="2"/>
  <c r="G214" i="2"/>
  <c r="H214" i="2"/>
  <c r="G215" i="2"/>
  <c r="H215" i="2"/>
  <c r="G216" i="2"/>
  <c r="H216" i="2"/>
  <c r="G217" i="2"/>
  <c r="H217" i="2"/>
  <c r="G218" i="2"/>
  <c r="H218" i="2"/>
  <c r="G219" i="2"/>
  <c r="H219" i="2"/>
  <c r="G220" i="2"/>
  <c r="H220" i="2"/>
  <c r="G221" i="2"/>
  <c r="H221" i="2"/>
  <c r="G222" i="2"/>
  <c r="H222" i="2"/>
  <c r="G223" i="2"/>
  <c r="H223" i="2"/>
  <c r="G224" i="2"/>
  <c r="H224" i="2"/>
  <c r="G225" i="2"/>
  <c r="H225" i="2"/>
  <c r="G226" i="2"/>
  <c r="H226" i="2"/>
  <c r="G227" i="2"/>
  <c r="H227" i="2"/>
  <c r="G228" i="2"/>
  <c r="H228" i="2"/>
  <c r="G229" i="2"/>
  <c r="H229" i="2"/>
  <c r="G230" i="2"/>
  <c r="H230" i="2"/>
  <c r="G231" i="2"/>
  <c r="H231" i="2"/>
  <c r="G232" i="2"/>
  <c r="H232" i="2"/>
  <c r="G233" i="2"/>
  <c r="H233" i="2"/>
  <c r="G234" i="2"/>
  <c r="H234" i="2"/>
  <c r="G235" i="2"/>
  <c r="H235" i="2"/>
  <c r="G236" i="2"/>
  <c r="H236" i="2"/>
  <c r="G237" i="2"/>
  <c r="H237" i="2"/>
  <c r="G238" i="2"/>
  <c r="H238" i="2"/>
  <c r="G239" i="2"/>
  <c r="H239" i="2"/>
  <c r="G240" i="2"/>
  <c r="H240" i="2"/>
  <c r="G241" i="2"/>
  <c r="H241" i="2"/>
  <c r="G242" i="2"/>
  <c r="H242" i="2"/>
  <c r="G243" i="2"/>
  <c r="H243" i="2"/>
  <c r="G244" i="2"/>
  <c r="H244" i="2"/>
  <c r="G245" i="2"/>
  <c r="H245" i="2"/>
  <c r="G246" i="2"/>
  <c r="H246" i="2"/>
  <c r="G247" i="2"/>
  <c r="H247" i="2"/>
  <c r="G248" i="2"/>
  <c r="H248" i="2"/>
  <c r="G249" i="2"/>
  <c r="H249" i="2"/>
  <c r="G250" i="2"/>
  <c r="H250" i="2"/>
  <c r="G251" i="2"/>
  <c r="H251" i="2"/>
  <c r="G252" i="2"/>
  <c r="H252" i="2"/>
  <c r="G253" i="2"/>
  <c r="H253" i="2"/>
  <c r="G254" i="2"/>
  <c r="H254" i="2"/>
  <c r="G255" i="2"/>
  <c r="H255" i="2"/>
  <c r="G256" i="2"/>
  <c r="H256" i="2"/>
  <c r="G257" i="2"/>
  <c r="H257" i="2"/>
  <c r="G258" i="2"/>
  <c r="H258" i="2"/>
  <c r="G259" i="2"/>
  <c r="H259" i="2"/>
  <c r="G260" i="2"/>
  <c r="H260" i="2"/>
  <c r="G261" i="2"/>
  <c r="H261" i="2"/>
  <c r="G262" i="2"/>
  <c r="H262" i="2"/>
  <c r="G263" i="2"/>
  <c r="H263" i="2"/>
  <c r="G264" i="2"/>
  <c r="H264" i="2"/>
  <c r="G265" i="2"/>
  <c r="H265" i="2"/>
  <c r="G266" i="2"/>
  <c r="H266" i="2"/>
  <c r="G267" i="2"/>
  <c r="H267" i="2"/>
  <c r="G268" i="2"/>
  <c r="H268" i="2"/>
  <c r="G269" i="2"/>
  <c r="H269" i="2"/>
  <c r="G270" i="2"/>
  <c r="H270" i="2"/>
  <c r="G271" i="2"/>
  <c r="H271" i="2"/>
  <c r="G272" i="2"/>
  <c r="H272" i="2"/>
  <c r="G273" i="2"/>
  <c r="H273" i="2"/>
  <c r="G274" i="2"/>
  <c r="H274" i="2"/>
  <c r="G275" i="2"/>
  <c r="H275" i="2"/>
  <c r="G276" i="2"/>
  <c r="H276" i="2"/>
  <c r="G277" i="2"/>
  <c r="H277" i="2"/>
  <c r="G278" i="2"/>
  <c r="H278" i="2"/>
  <c r="G279" i="2"/>
  <c r="H279" i="2"/>
  <c r="G280" i="2"/>
  <c r="H280" i="2"/>
  <c r="G281" i="2"/>
  <c r="H281" i="2"/>
  <c r="G282" i="2"/>
  <c r="H282" i="2"/>
  <c r="G283" i="2"/>
  <c r="H283" i="2"/>
  <c r="G284" i="2"/>
  <c r="H284" i="2"/>
  <c r="G285" i="2"/>
  <c r="H285" i="2"/>
  <c r="G286" i="2"/>
  <c r="H286" i="2"/>
  <c r="G287" i="2"/>
  <c r="H287" i="2"/>
  <c r="G288" i="2"/>
  <c r="H288" i="2"/>
  <c r="G289" i="2"/>
  <c r="H289" i="2"/>
  <c r="G290" i="2"/>
  <c r="H290" i="2"/>
  <c r="G291" i="2"/>
  <c r="H291" i="2"/>
  <c r="G292" i="2"/>
  <c r="H292" i="2"/>
  <c r="G293" i="2"/>
  <c r="H293" i="2"/>
  <c r="G294" i="2"/>
  <c r="H294" i="2"/>
  <c r="G295" i="2"/>
  <c r="H295" i="2"/>
  <c r="G296" i="2"/>
  <c r="H296" i="2"/>
  <c r="G297" i="2"/>
  <c r="H297" i="2"/>
  <c r="G298" i="2"/>
  <c r="H298" i="2"/>
  <c r="G299" i="2"/>
  <c r="H299" i="2"/>
  <c r="G300" i="2"/>
  <c r="H300" i="2"/>
  <c r="G301" i="2"/>
  <c r="H301" i="2"/>
  <c r="G302" i="2"/>
  <c r="H302" i="2"/>
  <c r="G303" i="2"/>
  <c r="H303" i="2"/>
  <c r="G304" i="2"/>
  <c r="H304" i="2"/>
  <c r="G305" i="2"/>
  <c r="H305" i="2"/>
  <c r="G306" i="2"/>
  <c r="H306" i="2"/>
  <c r="G307" i="2"/>
  <c r="H307" i="2"/>
  <c r="G308" i="2"/>
  <c r="H308" i="2"/>
  <c r="G309" i="2"/>
  <c r="H309" i="2"/>
  <c r="G310" i="2"/>
  <c r="H310" i="2"/>
  <c r="G311" i="2"/>
  <c r="H311" i="2"/>
  <c r="G312" i="2"/>
  <c r="H312" i="2"/>
  <c r="G313" i="2"/>
  <c r="H313" i="2"/>
  <c r="G314" i="2"/>
  <c r="H314" i="2"/>
  <c r="G315" i="2"/>
  <c r="H315" i="2"/>
  <c r="G316" i="2"/>
  <c r="H316" i="2"/>
  <c r="G317" i="2"/>
  <c r="H317" i="2"/>
  <c r="G318" i="2"/>
  <c r="H318" i="2"/>
  <c r="G319" i="2"/>
  <c r="H319" i="2"/>
  <c r="G320" i="2"/>
  <c r="H320" i="2"/>
  <c r="G321" i="2"/>
  <c r="H321" i="2"/>
  <c r="G322" i="2"/>
  <c r="H322" i="2"/>
  <c r="G323" i="2"/>
  <c r="H323" i="2"/>
  <c r="G324" i="2"/>
  <c r="H324" i="2"/>
  <c r="G325" i="2"/>
  <c r="H325" i="2"/>
  <c r="G326" i="2"/>
  <c r="H326" i="2"/>
  <c r="G327" i="2"/>
  <c r="H327" i="2"/>
  <c r="G328" i="2"/>
  <c r="H328" i="2"/>
  <c r="G329" i="2"/>
  <c r="H329" i="2"/>
  <c r="G330" i="2"/>
  <c r="H330" i="2"/>
  <c r="G331" i="2"/>
  <c r="H331" i="2"/>
  <c r="G332" i="2"/>
  <c r="H332" i="2"/>
  <c r="G333" i="2"/>
  <c r="H333" i="2"/>
  <c r="G334" i="2"/>
  <c r="H334" i="2"/>
  <c r="G335" i="2"/>
  <c r="H335" i="2"/>
  <c r="G336" i="2"/>
  <c r="H336" i="2"/>
  <c r="G337" i="2"/>
  <c r="H337" i="2"/>
  <c r="G338" i="2"/>
  <c r="H338" i="2"/>
  <c r="G339" i="2"/>
  <c r="H339" i="2"/>
  <c r="G340" i="2"/>
  <c r="H340" i="2"/>
  <c r="G341" i="2"/>
  <c r="H341" i="2"/>
  <c r="G342" i="2"/>
  <c r="H342" i="2"/>
  <c r="G343" i="2"/>
  <c r="H343" i="2"/>
  <c r="G344" i="2"/>
  <c r="H344" i="2"/>
  <c r="G345" i="2"/>
  <c r="H345" i="2"/>
  <c r="G346" i="2"/>
  <c r="H346" i="2"/>
  <c r="G347" i="2"/>
  <c r="H347" i="2"/>
  <c r="G348" i="2"/>
  <c r="H348" i="2"/>
  <c r="G349" i="2"/>
  <c r="H349" i="2"/>
  <c r="G350" i="2"/>
  <c r="H350" i="2"/>
  <c r="G351" i="2"/>
  <c r="H351" i="2"/>
  <c r="G352" i="2"/>
  <c r="H352" i="2"/>
  <c r="G353" i="2"/>
  <c r="H353" i="2"/>
  <c r="G354" i="2"/>
  <c r="H354" i="2"/>
  <c r="G355" i="2"/>
  <c r="H355" i="2"/>
  <c r="G356" i="2"/>
  <c r="H356" i="2"/>
  <c r="G357" i="2"/>
  <c r="H357" i="2"/>
  <c r="G358" i="2"/>
  <c r="H358" i="2"/>
  <c r="G359" i="2"/>
  <c r="H359" i="2"/>
  <c r="G360" i="2"/>
  <c r="H360" i="2"/>
  <c r="G361" i="2"/>
  <c r="H361" i="2"/>
  <c r="G362" i="2"/>
  <c r="H362" i="2"/>
  <c r="G363" i="2"/>
  <c r="H363" i="2"/>
  <c r="G364" i="2"/>
  <c r="H364" i="2"/>
  <c r="G365" i="2"/>
  <c r="H365" i="2"/>
  <c r="G366" i="2"/>
  <c r="H366" i="2"/>
  <c r="G367" i="2"/>
  <c r="H367" i="2"/>
  <c r="G368" i="2"/>
  <c r="H368" i="2"/>
  <c r="G369" i="2"/>
  <c r="H369" i="2"/>
  <c r="G370" i="2"/>
  <c r="H370" i="2"/>
  <c r="G371" i="2"/>
  <c r="H371" i="2"/>
  <c r="G372" i="2"/>
  <c r="H372" i="2"/>
  <c r="G373" i="2"/>
  <c r="H373" i="2"/>
  <c r="G374" i="2"/>
  <c r="H374" i="2"/>
  <c r="G375" i="2"/>
  <c r="H375" i="2"/>
  <c r="G376" i="2"/>
  <c r="H376" i="2"/>
  <c r="G377" i="2"/>
  <c r="H377" i="2"/>
  <c r="G378" i="2"/>
  <c r="H378" i="2"/>
  <c r="G379" i="2"/>
  <c r="H379" i="2"/>
  <c r="G380" i="2"/>
  <c r="H380" i="2"/>
  <c r="G381" i="2"/>
  <c r="H381" i="2"/>
  <c r="G382" i="2"/>
  <c r="H382" i="2"/>
  <c r="G383" i="2"/>
  <c r="H383" i="2"/>
  <c r="G384" i="2"/>
  <c r="H384" i="2"/>
  <c r="G385" i="2"/>
  <c r="H385" i="2"/>
  <c r="G386" i="2"/>
  <c r="H386" i="2"/>
  <c r="G387" i="2"/>
  <c r="H387" i="2"/>
  <c r="G388" i="2"/>
  <c r="H388" i="2"/>
  <c r="G389" i="2"/>
  <c r="H389" i="2"/>
  <c r="G390" i="2"/>
  <c r="H390" i="2"/>
  <c r="G391" i="2"/>
  <c r="H391" i="2"/>
  <c r="G392" i="2"/>
  <c r="H392" i="2"/>
  <c r="G393" i="2"/>
  <c r="H393" i="2"/>
  <c r="G394" i="2"/>
  <c r="H394" i="2"/>
  <c r="G395" i="2"/>
  <c r="H395" i="2"/>
  <c r="G396" i="2"/>
  <c r="H396" i="2"/>
  <c r="G397" i="2"/>
  <c r="H397" i="2"/>
  <c r="G398" i="2"/>
  <c r="H398" i="2"/>
  <c r="G399" i="2"/>
  <c r="H399" i="2"/>
  <c r="G400" i="2"/>
  <c r="H400" i="2"/>
  <c r="G401" i="2"/>
  <c r="H401" i="2"/>
  <c r="G402" i="2"/>
  <c r="H402" i="2"/>
  <c r="G403" i="2"/>
  <c r="H403" i="2"/>
  <c r="G404" i="2"/>
  <c r="H404" i="2"/>
  <c r="G405" i="2"/>
  <c r="H405" i="2"/>
  <c r="G406" i="2"/>
  <c r="H406" i="2"/>
  <c r="G407" i="2"/>
  <c r="H407" i="2"/>
  <c r="G408" i="2"/>
  <c r="H408" i="2"/>
  <c r="G409" i="2"/>
  <c r="H409" i="2"/>
  <c r="G410" i="2"/>
  <c r="H410" i="2"/>
  <c r="G411" i="2"/>
  <c r="H411" i="2"/>
  <c r="G412" i="2"/>
  <c r="H412" i="2"/>
  <c r="G413" i="2"/>
  <c r="H413" i="2"/>
  <c r="G414" i="2"/>
  <c r="H414" i="2"/>
  <c r="G415" i="2"/>
  <c r="H415" i="2"/>
  <c r="G416" i="2"/>
  <c r="H416" i="2"/>
  <c r="G417" i="2"/>
  <c r="H417" i="2"/>
  <c r="G418" i="2"/>
  <c r="H418" i="2"/>
  <c r="G419" i="2"/>
  <c r="H419" i="2"/>
  <c r="G420" i="2"/>
  <c r="H420" i="2"/>
  <c r="G421" i="2"/>
  <c r="H421" i="2"/>
  <c r="G422" i="2"/>
  <c r="H422" i="2"/>
  <c r="G423" i="2"/>
  <c r="H423" i="2"/>
  <c r="G424" i="2"/>
  <c r="H424" i="2"/>
  <c r="G425" i="2"/>
  <c r="H425" i="2"/>
  <c r="G426" i="2"/>
  <c r="H426" i="2"/>
  <c r="G427" i="2"/>
  <c r="H427" i="2"/>
  <c r="G428" i="2"/>
  <c r="H428" i="2"/>
  <c r="G429" i="2"/>
  <c r="H429" i="2"/>
  <c r="G430" i="2"/>
  <c r="H430" i="2"/>
  <c r="G431" i="2"/>
  <c r="H431" i="2"/>
  <c r="G432" i="2"/>
  <c r="H432" i="2"/>
  <c r="G433" i="2"/>
  <c r="H433" i="2"/>
  <c r="G434" i="2"/>
  <c r="H434" i="2"/>
  <c r="G435" i="2"/>
  <c r="H435" i="2"/>
  <c r="G436" i="2"/>
  <c r="H436" i="2"/>
  <c r="G437" i="2"/>
  <c r="H437" i="2"/>
  <c r="G438" i="2"/>
  <c r="H438" i="2"/>
  <c r="G439" i="2"/>
  <c r="H439" i="2"/>
  <c r="G440" i="2"/>
  <c r="H440" i="2"/>
  <c r="G441" i="2"/>
  <c r="H441" i="2"/>
  <c r="G442" i="2"/>
  <c r="H442" i="2"/>
  <c r="G443" i="2"/>
  <c r="H443" i="2"/>
  <c r="G444" i="2"/>
  <c r="H444" i="2"/>
  <c r="G445" i="2"/>
  <c r="H445" i="2"/>
  <c r="G446" i="2"/>
  <c r="H446" i="2"/>
  <c r="G447" i="2"/>
  <c r="H447" i="2"/>
  <c r="G448" i="2"/>
  <c r="H448" i="2"/>
  <c r="G449" i="2"/>
  <c r="H449" i="2"/>
  <c r="G450" i="2"/>
  <c r="H450" i="2"/>
  <c r="G451" i="2"/>
  <c r="H451" i="2"/>
  <c r="G452" i="2"/>
  <c r="H452" i="2"/>
  <c r="G453" i="2"/>
  <c r="H453" i="2"/>
  <c r="G454" i="2"/>
  <c r="H454" i="2"/>
  <c r="G455" i="2"/>
  <c r="H455" i="2"/>
  <c r="G456" i="2"/>
  <c r="H456" i="2"/>
  <c r="G457" i="2"/>
  <c r="H457" i="2"/>
  <c r="G458" i="2"/>
  <c r="H458" i="2"/>
  <c r="G459" i="2"/>
  <c r="H459" i="2"/>
  <c r="G460" i="2"/>
  <c r="H460" i="2"/>
  <c r="G461" i="2"/>
  <c r="H461" i="2"/>
  <c r="G462" i="2"/>
  <c r="H462" i="2"/>
  <c r="G463" i="2"/>
  <c r="H463" i="2"/>
  <c r="G464" i="2"/>
  <c r="H464" i="2"/>
  <c r="G465" i="2"/>
  <c r="H465" i="2"/>
  <c r="G466" i="2"/>
  <c r="H466" i="2"/>
  <c r="G467" i="2"/>
  <c r="H467" i="2"/>
  <c r="G468" i="2"/>
  <c r="H468" i="2"/>
  <c r="G469" i="2"/>
  <c r="H469" i="2"/>
  <c r="G470" i="2"/>
  <c r="H470" i="2"/>
  <c r="G471" i="2"/>
  <c r="H471" i="2"/>
  <c r="G472" i="2"/>
  <c r="H472" i="2"/>
  <c r="G473" i="2"/>
  <c r="H473" i="2"/>
  <c r="G474" i="2"/>
  <c r="H474" i="2"/>
  <c r="G475" i="2"/>
  <c r="H475" i="2"/>
  <c r="G476" i="2"/>
  <c r="H476" i="2"/>
  <c r="G477" i="2"/>
  <c r="H477" i="2"/>
  <c r="G478" i="2"/>
  <c r="H478" i="2"/>
  <c r="G479" i="2"/>
  <c r="H479" i="2"/>
  <c r="G480" i="2"/>
  <c r="H480" i="2"/>
  <c r="G481" i="2"/>
  <c r="H481" i="2"/>
  <c r="G482" i="2"/>
  <c r="H482" i="2"/>
  <c r="G483" i="2"/>
  <c r="H483" i="2"/>
  <c r="G484" i="2"/>
  <c r="H484" i="2"/>
  <c r="G485" i="2"/>
  <c r="H485" i="2"/>
  <c r="G486" i="2"/>
  <c r="H486" i="2"/>
  <c r="G487" i="2"/>
  <c r="H487" i="2"/>
  <c r="G488" i="2"/>
  <c r="H488" i="2"/>
  <c r="G489" i="2"/>
  <c r="H489" i="2"/>
  <c r="G490" i="2"/>
  <c r="H490" i="2"/>
  <c r="G491" i="2"/>
  <c r="H491" i="2"/>
  <c r="G492" i="2"/>
  <c r="H492" i="2"/>
  <c r="G493" i="2"/>
  <c r="H493" i="2"/>
  <c r="G494" i="2"/>
  <c r="H494" i="2"/>
  <c r="G495" i="2"/>
  <c r="H495" i="2"/>
  <c r="G496" i="2"/>
  <c r="H496" i="2"/>
  <c r="G497" i="2"/>
  <c r="H497" i="2"/>
  <c r="G498" i="2"/>
  <c r="H498" i="2"/>
  <c r="G499" i="2"/>
  <c r="H499" i="2"/>
  <c r="G500" i="2"/>
  <c r="H500" i="2"/>
  <c r="G501" i="2"/>
  <c r="H501" i="2"/>
  <c r="G502" i="2"/>
  <c r="H502" i="2"/>
  <c r="G503" i="2"/>
  <c r="H503" i="2"/>
  <c r="G504" i="2"/>
  <c r="H504" i="2"/>
  <c r="G505" i="2"/>
  <c r="H505" i="2"/>
  <c r="G506" i="2"/>
  <c r="H506" i="2"/>
  <c r="G507" i="2"/>
  <c r="H507" i="2"/>
  <c r="G508" i="2"/>
  <c r="H508" i="2"/>
  <c r="G509" i="2"/>
  <c r="H509" i="2"/>
  <c r="G510" i="2"/>
  <c r="H510" i="2"/>
  <c r="G511" i="2"/>
  <c r="H511" i="2"/>
  <c r="G512" i="2"/>
  <c r="H512" i="2"/>
  <c r="G513" i="2"/>
  <c r="H513" i="2"/>
  <c r="G514" i="2"/>
  <c r="H514" i="2"/>
  <c r="G515" i="2"/>
  <c r="H515" i="2"/>
  <c r="G516" i="2"/>
  <c r="H516" i="2"/>
  <c r="G517" i="2"/>
  <c r="H517" i="2"/>
  <c r="G518" i="2"/>
  <c r="H518" i="2"/>
  <c r="G519" i="2"/>
  <c r="H519" i="2"/>
  <c r="G520" i="2"/>
  <c r="H520" i="2"/>
  <c r="G521" i="2"/>
  <c r="H521" i="2"/>
  <c r="G522" i="2"/>
  <c r="H522" i="2"/>
  <c r="G523" i="2"/>
  <c r="H523" i="2"/>
  <c r="G524" i="2"/>
  <c r="H524" i="2"/>
  <c r="G525" i="2"/>
  <c r="H525" i="2"/>
  <c r="G526" i="2"/>
  <c r="H526" i="2"/>
  <c r="G527" i="2"/>
  <c r="H527" i="2"/>
  <c r="G528" i="2"/>
  <c r="H528" i="2"/>
  <c r="G529" i="2"/>
  <c r="H529" i="2"/>
  <c r="G530" i="2"/>
  <c r="H530" i="2"/>
  <c r="G531" i="2"/>
  <c r="H531" i="2"/>
  <c r="G532" i="2"/>
  <c r="H532" i="2"/>
  <c r="G533" i="2"/>
  <c r="H533" i="2"/>
  <c r="G534" i="2"/>
  <c r="H534" i="2"/>
  <c r="G535" i="2"/>
  <c r="H535" i="2"/>
  <c r="G536" i="2"/>
  <c r="H536" i="2"/>
  <c r="G537" i="2"/>
  <c r="H537" i="2"/>
  <c r="G538" i="2"/>
  <c r="H538" i="2"/>
  <c r="G539" i="2"/>
  <c r="H539" i="2"/>
  <c r="G540" i="2"/>
  <c r="H540" i="2"/>
  <c r="G541" i="2"/>
  <c r="H541" i="2"/>
  <c r="G542" i="2"/>
  <c r="H542" i="2"/>
  <c r="G543" i="2"/>
  <c r="H543" i="2"/>
  <c r="G544" i="2"/>
  <c r="H544" i="2"/>
  <c r="G545" i="2"/>
  <c r="H545" i="2"/>
  <c r="G546" i="2"/>
  <c r="H546" i="2"/>
  <c r="G547" i="2"/>
  <c r="H547" i="2"/>
  <c r="G548" i="2"/>
  <c r="H548" i="2"/>
  <c r="G549" i="2"/>
  <c r="H549" i="2"/>
  <c r="G550" i="2"/>
  <c r="H550" i="2"/>
  <c r="G551" i="2"/>
  <c r="H551" i="2"/>
  <c r="G552" i="2"/>
  <c r="H552" i="2"/>
  <c r="G553" i="2"/>
  <c r="H553" i="2"/>
  <c r="G554" i="2"/>
  <c r="H554" i="2"/>
  <c r="G555" i="2"/>
  <c r="H555" i="2"/>
  <c r="G556" i="2"/>
  <c r="H556" i="2"/>
  <c r="G557" i="2"/>
  <c r="H557" i="2"/>
  <c r="G558" i="2"/>
  <c r="H558" i="2"/>
  <c r="G559" i="2"/>
  <c r="H559" i="2"/>
  <c r="G560" i="2"/>
  <c r="H560" i="2"/>
  <c r="G561" i="2"/>
  <c r="H561" i="2"/>
  <c r="G562" i="2"/>
  <c r="H562" i="2"/>
  <c r="G563" i="2"/>
  <c r="H563" i="2"/>
  <c r="G564" i="2"/>
  <c r="H564" i="2"/>
  <c r="G565" i="2"/>
  <c r="H565" i="2"/>
  <c r="G566" i="2"/>
  <c r="H566" i="2"/>
  <c r="G567" i="2"/>
  <c r="H567" i="2"/>
  <c r="G568" i="2"/>
  <c r="H568" i="2"/>
  <c r="G569" i="2"/>
  <c r="H569" i="2"/>
  <c r="G570" i="2"/>
  <c r="H570" i="2"/>
  <c r="G571" i="2"/>
  <c r="H571" i="2"/>
  <c r="G572" i="2"/>
  <c r="H572" i="2"/>
  <c r="G573" i="2"/>
  <c r="H573" i="2"/>
  <c r="G574" i="2"/>
  <c r="H574" i="2"/>
  <c r="G575" i="2"/>
  <c r="H575" i="2"/>
  <c r="G576" i="2"/>
  <c r="H576" i="2"/>
  <c r="G577" i="2"/>
  <c r="H577" i="2"/>
  <c r="G578" i="2"/>
  <c r="H578" i="2"/>
  <c r="G579" i="2"/>
  <c r="H579" i="2"/>
  <c r="G580" i="2"/>
  <c r="H580" i="2"/>
  <c r="G581" i="2"/>
  <c r="H581" i="2"/>
  <c r="G582" i="2"/>
  <c r="H582" i="2"/>
  <c r="G583" i="2"/>
  <c r="H583" i="2"/>
  <c r="G584" i="2"/>
  <c r="H584" i="2"/>
  <c r="G585" i="2"/>
  <c r="H585" i="2"/>
  <c r="G586" i="2"/>
  <c r="H586" i="2"/>
  <c r="G587" i="2"/>
  <c r="H587" i="2"/>
  <c r="G588" i="2"/>
  <c r="H588" i="2"/>
  <c r="G589" i="2"/>
  <c r="H589" i="2"/>
  <c r="G590" i="2"/>
  <c r="H590" i="2"/>
  <c r="G591" i="2"/>
  <c r="H591" i="2"/>
  <c r="G592" i="2"/>
  <c r="H592" i="2"/>
  <c r="G593" i="2"/>
  <c r="H593" i="2"/>
  <c r="G594" i="2"/>
  <c r="H594" i="2"/>
  <c r="G595" i="2"/>
  <c r="H595" i="2"/>
  <c r="G596" i="2"/>
  <c r="H596" i="2"/>
  <c r="G597" i="2"/>
  <c r="H597" i="2"/>
  <c r="G598" i="2"/>
  <c r="H598" i="2"/>
  <c r="G599" i="2"/>
  <c r="H599" i="2"/>
  <c r="G600" i="2"/>
  <c r="H600" i="2"/>
  <c r="G601" i="2"/>
  <c r="H601" i="2"/>
  <c r="G602" i="2"/>
  <c r="H602" i="2"/>
  <c r="G603" i="2"/>
  <c r="H603" i="2"/>
  <c r="G604" i="2"/>
  <c r="H604" i="2"/>
  <c r="G605" i="2"/>
  <c r="H605" i="2"/>
  <c r="G606" i="2"/>
  <c r="H606" i="2"/>
  <c r="G607" i="2"/>
  <c r="H607" i="2"/>
  <c r="G608" i="2"/>
  <c r="H608" i="2"/>
  <c r="G609" i="2"/>
  <c r="H609" i="2"/>
  <c r="G610" i="2"/>
  <c r="H610" i="2"/>
  <c r="G611" i="2"/>
  <c r="H611" i="2"/>
  <c r="G612" i="2"/>
  <c r="H612" i="2"/>
  <c r="G613" i="2"/>
  <c r="H613" i="2"/>
  <c r="G614" i="2"/>
  <c r="H614" i="2"/>
  <c r="G615" i="2"/>
  <c r="H615" i="2"/>
  <c r="G616" i="2"/>
  <c r="H616" i="2"/>
  <c r="G617" i="2"/>
  <c r="H617" i="2"/>
  <c r="G618" i="2"/>
  <c r="H618" i="2"/>
  <c r="G619" i="2"/>
  <c r="H619" i="2"/>
  <c r="G620" i="2"/>
  <c r="H620" i="2"/>
  <c r="G621" i="2"/>
  <c r="H621" i="2"/>
  <c r="G622" i="2"/>
  <c r="H622" i="2"/>
  <c r="G623" i="2"/>
  <c r="H623" i="2"/>
  <c r="G624" i="2"/>
  <c r="H624" i="2"/>
  <c r="G625" i="2"/>
  <c r="H625" i="2"/>
  <c r="G626" i="2"/>
  <c r="H626" i="2"/>
  <c r="G627" i="2"/>
  <c r="H627" i="2"/>
  <c r="G628" i="2"/>
  <c r="H628" i="2"/>
  <c r="G629" i="2"/>
  <c r="H629" i="2"/>
  <c r="G630" i="2"/>
  <c r="H630" i="2"/>
  <c r="G631" i="2"/>
  <c r="H631" i="2"/>
  <c r="G632" i="2"/>
  <c r="H632" i="2"/>
  <c r="G633" i="2"/>
  <c r="H633" i="2"/>
  <c r="G634" i="2"/>
  <c r="H634" i="2"/>
  <c r="G635" i="2"/>
  <c r="H635" i="2"/>
  <c r="G636" i="2"/>
  <c r="H636" i="2"/>
  <c r="G637" i="2"/>
  <c r="H637" i="2"/>
  <c r="G638" i="2"/>
  <c r="H638" i="2"/>
  <c r="G639" i="2"/>
  <c r="H639" i="2"/>
  <c r="G640" i="2"/>
  <c r="H640" i="2"/>
  <c r="G641" i="2"/>
  <c r="H641" i="2"/>
  <c r="G642" i="2"/>
  <c r="H642" i="2"/>
  <c r="G643" i="2"/>
  <c r="H643" i="2"/>
  <c r="G644" i="2"/>
  <c r="H644" i="2"/>
  <c r="G645" i="2"/>
  <c r="H645" i="2"/>
  <c r="G646" i="2"/>
  <c r="H646" i="2"/>
  <c r="G647" i="2"/>
  <c r="H647" i="2"/>
  <c r="G648" i="2"/>
  <c r="H648" i="2"/>
  <c r="G649" i="2"/>
  <c r="H649" i="2"/>
  <c r="G650" i="2"/>
  <c r="H650" i="2"/>
  <c r="G651" i="2"/>
  <c r="H651" i="2"/>
  <c r="G652" i="2"/>
  <c r="H652" i="2"/>
  <c r="G653" i="2"/>
  <c r="H653" i="2"/>
  <c r="G654" i="2"/>
  <c r="H654" i="2"/>
  <c r="G655" i="2"/>
  <c r="H655" i="2"/>
  <c r="G656" i="2"/>
  <c r="H656" i="2"/>
  <c r="G657" i="2"/>
  <c r="H657" i="2"/>
  <c r="G658" i="2"/>
  <c r="H658" i="2"/>
  <c r="G659" i="2"/>
  <c r="H659" i="2"/>
  <c r="G660" i="2"/>
  <c r="H660" i="2"/>
  <c r="G661" i="2"/>
  <c r="H661" i="2"/>
  <c r="G662" i="2"/>
  <c r="H662" i="2"/>
  <c r="G663" i="2"/>
  <c r="H663" i="2"/>
  <c r="G664" i="2"/>
  <c r="H664" i="2"/>
  <c r="G665" i="2"/>
  <c r="H665" i="2"/>
  <c r="G666" i="2"/>
  <c r="H666" i="2"/>
  <c r="G667" i="2"/>
  <c r="H667" i="2"/>
  <c r="G668" i="2"/>
  <c r="H668" i="2"/>
  <c r="G669" i="2"/>
  <c r="H669" i="2"/>
  <c r="G670" i="2"/>
  <c r="H670" i="2"/>
  <c r="G671" i="2"/>
  <c r="H671" i="2"/>
  <c r="G672" i="2"/>
  <c r="H672" i="2"/>
  <c r="G673" i="2"/>
  <c r="H673" i="2"/>
  <c r="G674" i="2"/>
  <c r="H674" i="2"/>
  <c r="G675" i="2"/>
  <c r="H675" i="2"/>
  <c r="G676" i="2"/>
  <c r="H676" i="2"/>
  <c r="G677" i="2"/>
  <c r="H677" i="2"/>
  <c r="G678" i="2"/>
  <c r="H678" i="2"/>
  <c r="G679" i="2"/>
  <c r="H679" i="2"/>
  <c r="G680" i="2"/>
  <c r="H680" i="2"/>
  <c r="G681" i="2"/>
  <c r="H681" i="2"/>
  <c r="G682" i="2"/>
  <c r="H682" i="2"/>
  <c r="G683" i="2"/>
  <c r="H683" i="2"/>
  <c r="G684" i="2"/>
  <c r="H684" i="2"/>
  <c r="G685" i="2"/>
  <c r="H685" i="2"/>
  <c r="G686" i="2"/>
  <c r="H686" i="2"/>
  <c r="G687" i="2"/>
  <c r="H687" i="2"/>
  <c r="G688" i="2"/>
  <c r="H688" i="2"/>
  <c r="G689" i="2"/>
  <c r="H689" i="2"/>
  <c r="G690" i="2"/>
  <c r="H690" i="2"/>
  <c r="G691" i="2"/>
  <c r="H691" i="2"/>
  <c r="G692" i="2"/>
  <c r="H692" i="2"/>
  <c r="G693" i="2"/>
  <c r="H693" i="2"/>
  <c r="G694" i="2"/>
  <c r="H694" i="2"/>
  <c r="G695" i="2"/>
  <c r="H695" i="2"/>
  <c r="G696" i="2"/>
  <c r="H696" i="2"/>
  <c r="G697" i="2"/>
  <c r="H697" i="2"/>
  <c r="G698" i="2"/>
  <c r="H698" i="2"/>
  <c r="G699" i="2"/>
  <c r="H699" i="2"/>
  <c r="G700" i="2"/>
  <c r="H700" i="2"/>
  <c r="G701" i="2"/>
  <c r="H701" i="2"/>
  <c r="G702" i="2"/>
  <c r="H702" i="2"/>
  <c r="G703" i="2"/>
  <c r="H703" i="2"/>
  <c r="G704" i="2"/>
  <c r="H704" i="2"/>
  <c r="G705" i="2"/>
  <c r="H705" i="2"/>
  <c r="G706" i="2"/>
  <c r="H706" i="2"/>
  <c r="G707" i="2"/>
  <c r="H707" i="2"/>
  <c r="G708" i="2"/>
  <c r="H708" i="2"/>
  <c r="G709" i="2"/>
  <c r="H709" i="2"/>
  <c r="G710" i="2"/>
  <c r="H710" i="2"/>
  <c r="G711" i="2"/>
  <c r="H711" i="2"/>
  <c r="G712" i="2"/>
  <c r="H712" i="2"/>
  <c r="G713" i="2"/>
  <c r="H713" i="2"/>
  <c r="G714" i="2"/>
  <c r="H714" i="2"/>
  <c r="G715" i="2"/>
  <c r="H715" i="2"/>
  <c r="G716" i="2"/>
  <c r="H716" i="2"/>
  <c r="G717" i="2"/>
  <c r="H717" i="2"/>
  <c r="G718" i="2"/>
  <c r="H718" i="2"/>
  <c r="G719" i="2"/>
  <c r="H719" i="2"/>
  <c r="G720" i="2"/>
  <c r="H720" i="2"/>
  <c r="G721" i="2"/>
  <c r="H721" i="2"/>
  <c r="G722" i="2"/>
  <c r="H722" i="2"/>
  <c r="G723" i="2"/>
  <c r="H723" i="2"/>
  <c r="G724" i="2"/>
  <c r="H724" i="2"/>
  <c r="G725" i="2"/>
  <c r="H725" i="2"/>
  <c r="G726" i="2"/>
  <c r="H726" i="2"/>
  <c r="G727" i="2"/>
  <c r="H727" i="2"/>
  <c r="G728" i="2"/>
  <c r="H728" i="2"/>
  <c r="G729" i="2"/>
  <c r="H729" i="2"/>
  <c r="G730" i="2"/>
  <c r="H730" i="2"/>
  <c r="G731" i="2"/>
  <c r="H731" i="2"/>
  <c r="G732" i="2"/>
  <c r="H732" i="2"/>
  <c r="G733" i="2"/>
  <c r="H733" i="2"/>
  <c r="G734" i="2"/>
  <c r="H734" i="2"/>
  <c r="G735" i="2"/>
  <c r="H735" i="2"/>
  <c r="G736" i="2"/>
  <c r="H736" i="2"/>
  <c r="G737" i="2"/>
  <c r="H737" i="2"/>
  <c r="G738" i="2"/>
  <c r="H738" i="2"/>
  <c r="G739" i="2"/>
  <c r="H739" i="2"/>
  <c r="G740" i="2"/>
  <c r="H740" i="2"/>
  <c r="G741" i="2"/>
  <c r="H741" i="2"/>
  <c r="G742" i="2"/>
  <c r="H742" i="2"/>
  <c r="G743" i="2"/>
  <c r="H743" i="2"/>
  <c r="G744" i="2"/>
  <c r="H744" i="2"/>
  <c r="G745" i="2"/>
  <c r="H745" i="2"/>
  <c r="G746" i="2"/>
  <c r="H746" i="2"/>
  <c r="G747" i="2"/>
  <c r="H747" i="2"/>
  <c r="G748" i="2"/>
  <c r="H748" i="2"/>
  <c r="G749" i="2"/>
  <c r="H749" i="2"/>
  <c r="G750" i="2"/>
  <c r="H750" i="2"/>
  <c r="G751" i="2"/>
  <c r="H751" i="2"/>
  <c r="G752" i="2"/>
  <c r="H752" i="2"/>
  <c r="G753" i="2"/>
  <c r="H753" i="2"/>
  <c r="G754" i="2"/>
  <c r="H754" i="2"/>
  <c r="G755" i="2"/>
  <c r="H755" i="2"/>
  <c r="G756" i="2"/>
  <c r="H756" i="2"/>
  <c r="G757" i="2"/>
  <c r="H757" i="2"/>
  <c r="G758" i="2"/>
  <c r="H758" i="2"/>
  <c r="G759" i="2"/>
  <c r="H759" i="2"/>
  <c r="G760" i="2"/>
  <c r="H760" i="2"/>
  <c r="G761" i="2"/>
  <c r="H761" i="2"/>
  <c r="G762" i="2"/>
  <c r="H762" i="2"/>
  <c r="G763" i="2"/>
  <c r="H763" i="2"/>
  <c r="G764" i="2"/>
  <c r="H764" i="2"/>
  <c r="G765" i="2"/>
  <c r="H765" i="2"/>
  <c r="G766" i="2"/>
  <c r="H766" i="2"/>
  <c r="G767" i="2"/>
  <c r="H767" i="2"/>
  <c r="G768" i="2"/>
  <c r="H768" i="2"/>
  <c r="G769" i="2"/>
  <c r="H769" i="2"/>
  <c r="G770" i="2"/>
  <c r="H770" i="2"/>
  <c r="G771" i="2"/>
  <c r="H771" i="2"/>
  <c r="G772" i="2"/>
  <c r="H772" i="2"/>
  <c r="G773" i="2"/>
  <c r="H773" i="2"/>
  <c r="G774" i="2"/>
  <c r="H774" i="2"/>
  <c r="G775" i="2"/>
  <c r="H775" i="2"/>
  <c r="G776" i="2"/>
  <c r="H776" i="2"/>
  <c r="G777" i="2"/>
  <c r="H777" i="2"/>
  <c r="G778" i="2"/>
  <c r="H778" i="2"/>
  <c r="G779" i="2"/>
  <c r="H779" i="2"/>
  <c r="G780" i="2"/>
  <c r="H780" i="2"/>
  <c r="G781" i="2"/>
  <c r="H781" i="2"/>
  <c r="G782" i="2"/>
  <c r="H782" i="2"/>
  <c r="G783" i="2"/>
  <c r="H783" i="2"/>
  <c r="G784" i="2"/>
  <c r="H784" i="2"/>
  <c r="G785" i="2"/>
  <c r="H785" i="2"/>
  <c r="G786" i="2"/>
  <c r="H786" i="2"/>
  <c r="G787" i="2"/>
  <c r="H787" i="2"/>
  <c r="G788" i="2"/>
  <c r="H788" i="2"/>
  <c r="G789" i="2"/>
  <c r="H789" i="2"/>
  <c r="G790" i="2"/>
  <c r="H790" i="2"/>
  <c r="G791" i="2"/>
  <c r="H791" i="2"/>
  <c r="G792" i="2"/>
  <c r="H792" i="2"/>
  <c r="G793" i="2"/>
  <c r="H793" i="2"/>
  <c r="G794" i="2"/>
  <c r="H794" i="2"/>
  <c r="G795" i="2"/>
  <c r="H795" i="2"/>
  <c r="G796" i="2"/>
  <c r="H796" i="2"/>
  <c r="G797" i="2"/>
  <c r="H797" i="2"/>
  <c r="G798" i="2"/>
  <c r="H798" i="2"/>
  <c r="G799" i="2"/>
  <c r="H799" i="2"/>
  <c r="G800" i="2"/>
  <c r="H800" i="2"/>
  <c r="G801" i="2"/>
  <c r="H801" i="2"/>
  <c r="G802" i="2"/>
  <c r="H802" i="2"/>
  <c r="G803" i="2"/>
  <c r="H803" i="2"/>
  <c r="G804" i="2"/>
  <c r="H804" i="2"/>
  <c r="G805" i="2"/>
  <c r="H805" i="2"/>
  <c r="G806" i="2"/>
  <c r="H806" i="2"/>
  <c r="G807" i="2"/>
  <c r="H807" i="2"/>
  <c r="G808" i="2"/>
  <c r="H808" i="2"/>
  <c r="G809" i="2"/>
  <c r="H809" i="2"/>
  <c r="G810" i="2"/>
  <c r="H810" i="2"/>
  <c r="G811" i="2"/>
  <c r="H811" i="2"/>
  <c r="G812" i="2"/>
  <c r="H812" i="2"/>
  <c r="G813" i="2"/>
  <c r="H813" i="2"/>
  <c r="G814" i="2"/>
  <c r="H814" i="2"/>
  <c r="G815" i="2"/>
  <c r="H815" i="2"/>
  <c r="G816" i="2"/>
  <c r="H816" i="2"/>
  <c r="G817" i="2"/>
  <c r="H817" i="2"/>
  <c r="G818" i="2"/>
  <c r="H818" i="2"/>
  <c r="G819" i="2"/>
  <c r="H819" i="2"/>
  <c r="G820" i="2"/>
  <c r="H820" i="2"/>
  <c r="G821" i="2"/>
  <c r="H821" i="2"/>
  <c r="G822" i="2"/>
  <c r="H822" i="2"/>
  <c r="G823" i="2"/>
  <c r="H823" i="2"/>
  <c r="G824" i="2"/>
  <c r="H824" i="2"/>
  <c r="G825" i="2"/>
  <c r="H825" i="2"/>
  <c r="G826" i="2"/>
  <c r="H826" i="2"/>
  <c r="G827" i="2"/>
  <c r="H827" i="2"/>
  <c r="G828" i="2"/>
  <c r="H828" i="2"/>
  <c r="G829" i="2"/>
  <c r="H829" i="2"/>
  <c r="G830" i="2"/>
  <c r="H830" i="2"/>
  <c r="G831" i="2"/>
  <c r="H831" i="2"/>
  <c r="G832" i="2"/>
  <c r="H832" i="2"/>
  <c r="G833" i="2"/>
  <c r="H833" i="2"/>
  <c r="G834" i="2"/>
  <c r="H834" i="2"/>
  <c r="G835" i="2"/>
  <c r="H835" i="2"/>
  <c r="G836" i="2"/>
  <c r="H836" i="2"/>
  <c r="G837" i="2"/>
  <c r="H837" i="2"/>
  <c r="G838" i="2"/>
  <c r="H838" i="2"/>
  <c r="G839" i="2"/>
  <c r="H839" i="2"/>
  <c r="G840" i="2"/>
  <c r="H840" i="2"/>
  <c r="G841" i="2"/>
  <c r="H841" i="2"/>
  <c r="G842" i="2"/>
  <c r="H842" i="2"/>
  <c r="G843" i="2"/>
  <c r="H843" i="2"/>
  <c r="G844" i="2"/>
  <c r="H844" i="2"/>
  <c r="G845" i="2"/>
  <c r="H845" i="2"/>
  <c r="G846" i="2"/>
  <c r="H846" i="2"/>
  <c r="G847" i="2"/>
  <c r="H847" i="2"/>
  <c r="G848" i="2"/>
  <c r="H848" i="2"/>
  <c r="G849" i="2"/>
  <c r="H849" i="2"/>
  <c r="G850" i="2"/>
  <c r="H850" i="2"/>
  <c r="G851" i="2"/>
  <c r="H851" i="2"/>
  <c r="G852" i="2"/>
  <c r="H852" i="2"/>
  <c r="G853" i="2"/>
  <c r="H853" i="2"/>
  <c r="G854" i="2"/>
  <c r="H854" i="2"/>
  <c r="G855" i="2"/>
  <c r="H855" i="2"/>
  <c r="G856" i="2"/>
  <c r="H856" i="2"/>
  <c r="G857" i="2"/>
  <c r="H857" i="2"/>
  <c r="G858" i="2"/>
  <c r="H858" i="2"/>
  <c r="G859" i="2"/>
  <c r="H859" i="2"/>
  <c r="G860" i="2"/>
  <c r="H860" i="2"/>
  <c r="G861" i="2"/>
  <c r="H861" i="2"/>
  <c r="G862" i="2"/>
  <c r="H862" i="2"/>
  <c r="G863" i="2"/>
  <c r="H863" i="2"/>
  <c r="G864" i="2"/>
  <c r="H864" i="2"/>
  <c r="G865" i="2"/>
  <c r="H865" i="2"/>
  <c r="G866" i="2"/>
  <c r="H866" i="2"/>
  <c r="G867" i="2"/>
  <c r="H867" i="2"/>
  <c r="G868" i="2"/>
  <c r="H868" i="2"/>
  <c r="G869" i="2"/>
  <c r="H869" i="2"/>
  <c r="G870" i="2"/>
  <c r="H870" i="2"/>
  <c r="G871" i="2"/>
  <c r="H871" i="2"/>
  <c r="G872" i="2"/>
  <c r="H872" i="2"/>
  <c r="G873" i="2"/>
  <c r="H873" i="2"/>
  <c r="G874" i="2"/>
  <c r="H874" i="2"/>
  <c r="G875" i="2"/>
  <c r="H875" i="2"/>
  <c r="G876" i="2"/>
  <c r="H876" i="2"/>
  <c r="G877" i="2"/>
  <c r="H877" i="2"/>
  <c r="G878" i="2"/>
  <c r="H878" i="2"/>
  <c r="G879" i="2"/>
  <c r="H879" i="2"/>
  <c r="G880" i="2"/>
  <c r="H880" i="2"/>
  <c r="G881" i="2"/>
  <c r="H881" i="2"/>
  <c r="G882" i="2"/>
  <c r="H882" i="2"/>
  <c r="G883" i="2"/>
  <c r="H883" i="2"/>
  <c r="G884" i="2"/>
  <c r="H884" i="2"/>
  <c r="G885" i="2"/>
  <c r="H885" i="2"/>
  <c r="G886" i="2"/>
  <c r="H886" i="2"/>
  <c r="G887" i="2"/>
  <c r="H887" i="2"/>
  <c r="G888" i="2"/>
  <c r="H888" i="2"/>
  <c r="G889" i="2"/>
  <c r="H889" i="2"/>
  <c r="G890" i="2"/>
  <c r="H890" i="2"/>
  <c r="G891" i="2"/>
  <c r="H891" i="2"/>
  <c r="G892" i="2"/>
  <c r="H892" i="2"/>
  <c r="G893" i="2"/>
  <c r="H893" i="2"/>
  <c r="G894" i="2"/>
  <c r="H894" i="2"/>
  <c r="G895" i="2"/>
  <c r="H895" i="2"/>
  <c r="G896" i="2"/>
  <c r="H896" i="2"/>
  <c r="G897" i="2"/>
  <c r="H897" i="2"/>
  <c r="G898" i="2"/>
  <c r="H898" i="2"/>
  <c r="G899" i="2"/>
  <c r="H899" i="2"/>
  <c r="G900" i="2"/>
  <c r="H900" i="2"/>
  <c r="G901" i="2"/>
  <c r="H901" i="2"/>
  <c r="G902" i="2"/>
  <c r="H902" i="2"/>
  <c r="G903" i="2"/>
  <c r="H903" i="2"/>
  <c r="G904" i="2"/>
  <c r="H904" i="2"/>
  <c r="G905" i="2"/>
  <c r="H905" i="2"/>
  <c r="G906" i="2"/>
  <c r="H906" i="2"/>
  <c r="G907" i="2"/>
  <c r="H907" i="2"/>
  <c r="G908" i="2"/>
  <c r="H908" i="2"/>
  <c r="G909" i="2"/>
  <c r="H909" i="2"/>
  <c r="G910" i="2"/>
  <c r="H910" i="2"/>
  <c r="G911" i="2"/>
  <c r="H911" i="2"/>
  <c r="G912" i="2"/>
  <c r="H912" i="2"/>
  <c r="G913" i="2"/>
  <c r="H913" i="2"/>
  <c r="G914" i="2"/>
  <c r="H914" i="2"/>
  <c r="G915" i="2"/>
  <c r="H915" i="2"/>
  <c r="G916" i="2"/>
  <c r="H916" i="2"/>
  <c r="G917" i="2"/>
  <c r="H917" i="2"/>
  <c r="G918" i="2"/>
  <c r="H918" i="2"/>
  <c r="G919" i="2"/>
  <c r="H919" i="2"/>
  <c r="G920" i="2"/>
  <c r="H920" i="2"/>
  <c r="G921" i="2"/>
  <c r="H921" i="2"/>
  <c r="G922" i="2"/>
  <c r="H922" i="2"/>
  <c r="G923" i="2"/>
  <c r="H923" i="2"/>
  <c r="G924" i="2"/>
  <c r="H924" i="2"/>
  <c r="G925" i="2"/>
  <c r="H925" i="2"/>
  <c r="G926" i="2"/>
  <c r="H926" i="2"/>
  <c r="G927" i="2"/>
  <c r="H927" i="2"/>
  <c r="G928" i="2"/>
  <c r="H928" i="2"/>
  <c r="G929" i="2"/>
  <c r="H929" i="2"/>
  <c r="G930" i="2"/>
  <c r="H930" i="2"/>
  <c r="G931" i="2"/>
  <c r="H931" i="2"/>
  <c r="G932" i="2"/>
  <c r="H932" i="2"/>
  <c r="G933" i="2"/>
  <c r="H933" i="2"/>
  <c r="G934" i="2"/>
  <c r="H934" i="2"/>
  <c r="G935" i="2"/>
  <c r="H935" i="2"/>
  <c r="G936" i="2"/>
  <c r="H936" i="2"/>
  <c r="G937" i="2"/>
  <c r="H937" i="2"/>
  <c r="G938" i="2"/>
  <c r="H938" i="2"/>
  <c r="G939" i="2"/>
  <c r="H939" i="2"/>
  <c r="G940" i="2"/>
  <c r="H940" i="2"/>
  <c r="G941" i="2"/>
  <c r="H941" i="2"/>
  <c r="G942" i="2"/>
  <c r="H942" i="2"/>
  <c r="G943" i="2"/>
  <c r="H943" i="2"/>
  <c r="G944" i="2"/>
  <c r="H944" i="2"/>
  <c r="G945" i="2"/>
  <c r="H945" i="2"/>
  <c r="G946" i="2"/>
  <c r="H946" i="2"/>
  <c r="G947" i="2"/>
  <c r="H947" i="2"/>
  <c r="G948" i="2"/>
  <c r="H948" i="2"/>
  <c r="G949" i="2"/>
  <c r="H949" i="2"/>
  <c r="G950" i="2"/>
  <c r="H950" i="2"/>
  <c r="G951" i="2"/>
  <c r="H951" i="2"/>
  <c r="G952" i="2"/>
  <c r="H952" i="2"/>
  <c r="G953" i="2"/>
  <c r="H953" i="2"/>
  <c r="G954" i="2"/>
  <c r="H954" i="2"/>
  <c r="G955" i="2"/>
  <c r="H955" i="2"/>
  <c r="G956" i="2"/>
  <c r="H956" i="2"/>
  <c r="G957" i="2"/>
  <c r="H957" i="2"/>
  <c r="G958" i="2"/>
  <c r="H958" i="2"/>
  <c r="G959" i="2"/>
  <c r="H959" i="2"/>
  <c r="G960" i="2"/>
  <c r="H960" i="2"/>
  <c r="G961" i="2"/>
  <c r="H961" i="2"/>
  <c r="G962" i="2"/>
  <c r="H962" i="2"/>
  <c r="G963" i="2"/>
  <c r="H963" i="2"/>
  <c r="G964" i="2"/>
  <c r="H964" i="2"/>
  <c r="G965" i="2"/>
  <c r="H965" i="2"/>
  <c r="G966" i="2"/>
  <c r="H966" i="2"/>
  <c r="G967" i="2"/>
  <c r="H967" i="2"/>
  <c r="G968" i="2"/>
  <c r="H968" i="2"/>
  <c r="G969" i="2"/>
  <c r="H969" i="2"/>
  <c r="G970" i="2"/>
  <c r="H970" i="2"/>
  <c r="G971" i="2"/>
  <c r="H971" i="2"/>
  <c r="G972" i="2"/>
  <c r="H972" i="2"/>
  <c r="G973" i="2"/>
  <c r="H973" i="2"/>
  <c r="G974" i="2"/>
  <c r="H974" i="2"/>
  <c r="G975" i="2"/>
  <c r="H975" i="2"/>
  <c r="G976" i="2"/>
  <c r="H976" i="2"/>
  <c r="G977" i="2"/>
  <c r="H977" i="2"/>
  <c r="G978" i="2"/>
  <c r="H978" i="2"/>
  <c r="G979" i="2"/>
  <c r="H979" i="2"/>
  <c r="G980" i="2"/>
  <c r="H980" i="2"/>
  <c r="G981" i="2"/>
  <c r="H981" i="2"/>
  <c r="G982" i="2"/>
  <c r="H982" i="2"/>
  <c r="G983" i="2"/>
  <c r="H983" i="2"/>
  <c r="G984" i="2"/>
  <c r="H984" i="2"/>
  <c r="G985" i="2"/>
  <c r="H985" i="2"/>
  <c r="G986" i="2"/>
  <c r="H986" i="2"/>
  <c r="G987" i="2"/>
  <c r="H987" i="2"/>
  <c r="G988" i="2"/>
  <c r="H988" i="2"/>
  <c r="G989" i="2"/>
  <c r="H989" i="2"/>
  <c r="G990" i="2"/>
  <c r="H990" i="2"/>
  <c r="G991" i="2"/>
  <c r="H991" i="2"/>
  <c r="G992" i="2"/>
  <c r="H992" i="2"/>
  <c r="G993" i="2"/>
  <c r="H993" i="2"/>
  <c r="G994" i="2"/>
  <c r="H994" i="2"/>
  <c r="G995" i="2"/>
  <c r="H995" i="2"/>
  <c r="G996" i="2"/>
  <c r="H996" i="2"/>
  <c r="G997" i="2"/>
  <c r="H997" i="2"/>
  <c r="G998" i="2"/>
  <c r="H998" i="2"/>
  <c r="G999" i="2"/>
  <c r="H999" i="2"/>
  <c r="G1000" i="2"/>
  <c r="H1000" i="2"/>
  <c r="G1001" i="2"/>
  <c r="H1001" i="2"/>
  <c r="G1002" i="2"/>
  <c r="H1002" i="2"/>
  <c r="G1003" i="2"/>
  <c r="H1003" i="2"/>
  <c r="G1004" i="2"/>
  <c r="H1004" i="2"/>
  <c r="G1005" i="2"/>
  <c r="H1005" i="2"/>
  <c r="G1006" i="2"/>
  <c r="H1006" i="2"/>
  <c r="G1007" i="2"/>
  <c r="H1007" i="2"/>
  <c r="G1008" i="2"/>
  <c r="H1008" i="2"/>
  <c r="G1009" i="2"/>
  <c r="H1009" i="2"/>
  <c r="G1010" i="2"/>
  <c r="H1010" i="2"/>
  <c r="G1011" i="2"/>
  <c r="H1011" i="2"/>
  <c r="G1012" i="2"/>
  <c r="H1012" i="2"/>
  <c r="G1013" i="2"/>
  <c r="H1013" i="2"/>
  <c r="G1014" i="2"/>
  <c r="H1014" i="2"/>
  <c r="G1015" i="2"/>
  <c r="H1015" i="2"/>
  <c r="G1016" i="2"/>
  <c r="H1016" i="2"/>
  <c r="G1017" i="2"/>
  <c r="H1017" i="2"/>
  <c r="G1018" i="2"/>
  <c r="H1018" i="2"/>
  <c r="G1019" i="2"/>
  <c r="H1019" i="2"/>
  <c r="G1020" i="2"/>
  <c r="H1020" i="2"/>
  <c r="G1021" i="2"/>
  <c r="H1021" i="2"/>
  <c r="G1022" i="2"/>
  <c r="H1022" i="2"/>
  <c r="G1023" i="2"/>
  <c r="H1023" i="2"/>
  <c r="G1024" i="2"/>
  <c r="H1024" i="2"/>
  <c r="G1025" i="2"/>
  <c r="H1025" i="2"/>
  <c r="G1026" i="2"/>
  <c r="H1026" i="2"/>
  <c r="G1027" i="2"/>
  <c r="H1027" i="2"/>
  <c r="G1028" i="2"/>
  <c r="H1028" i="2"/>
  <c r="G1029" i="2"/>
  <c r="H1029" i="2"/>
  <c r="G1030" i="2"/>
  <c r="H1030" i="2"/>
  <c r="G1031" i="2"/>
  <c r="H1031" i="2"/>
  <c r="G1032" i="2"/>
  <c r="H1032" i="2"/>
  <c r="G1033" i="2"/>
  <c r="H1033" i="2"/>
  <c r="G1034" i="2"/>
  <c r="H1034" i="2"/>
  <c r="G1035" i="2"/>
  <c r="H1035" i="2"/>
  <c r="G1036" i="2"/>
  <c r="H1036" i="2"/>
  <c r="G1037" i="2"/>
  <c r="H1037" i="2"/>
  <c r="G1038" i="2"/>
  <c r="H1038" i="2"/>
  <c r="G1039" i="2"/>
  <c r="H1039" i="2"/>
  <c r="G1040" i="2"/>
  <c r="H1040" i="2"/>
  <c r="G1041" i="2"/>
  <c r="H1041" i="2"/>
  <c r="G1042" i="2"/>
  <c r="H1042" i="2"/>
  <c r="G1043" i="2"/>
  <c r="H1043" i="2"/>
  <c r="G1044" i="2"/>
  <c r="H1044" i="2"/>
  <c r="G1045" i="2"/>
  <c r="H1045" i="2"/>
  <c r="G1046" i="2"/>
  <c r="H1046" i="2"/>
  <c r="G1047" i="2"/>
  <c r="H1047" i="2"/>
  <c r="G1048" i="2"/>
  <c r="H1048" i="2"/>
  <c r="G1049" i="2"/>
  <c r="H1049" i="2"/>
  <c r="G1050" i="2"/>
  <c r="H1050" i="2"/>
  <c r="G1051" i="2"/>
  <c r="H1051" i="2"/>
  <c r="G1052" i="2"/>
  <c r="H1052" i="2"/>
  <c r="G1053" i="2"/>
  <c r="H1053" i="2"/>
  <c r="G1054" i="2"/>
  <c r="H1054" i="2"/>
  <c r="G1055" i="2"/>
  <c r="H1055" i="2"/>
  <c r="G1056" i="2"/>
  <c r="H1056" i="2"/>
  <c r="G1057" i="2"/>
  <c r="H1057" i="2"/>
  <c r="G1058" i="2"/>
  <c r="H1058" i="2"/>
  <c r="G1059" i="2"/>
  <c r="H1059" i="2"/>
  <c r="G1060" i="2"/>
  <c r="H1060" i="2"/>
  <c r="G1061" i="2"/>
  <c r="H1061" i="2"/>
  <c r="G1062" i="2"/>
  <c r="H1062" i="2"/>
  <c r="G1063" i="2"/>
  <c r="H1063" i="2"/>
  <c r="G1064" i="2"/>
  <c r="H1064" i="2"/>
  <c r="G1065" i="2"/>
  <c r="H1065" i="2"/>
  <c r="G1066" i="2"/>
  <c r="H1066" i="2"/>
  <c r="G1067" i="2"/>
  <c r="H1067" i="2"/>
  <c r="G1068" i="2"/>
  <c r="H1068" i="2"/>
  <c r="G1069" i="2"/>
  <c r="H1069" i="2"/>
  <c r="G1070" i="2"/>
  <c r="H1070" i="2"/>
  <c r="G1071" i="2"/>
  <c r="H1071" i="2"/>
  <c r="G1072" i="2"/>
  <c r="H1072" i="2"/>
  <c r="G1073" i="2"/>
  <c r="H1073" i="2"/>
  <c r="G1074" i="2"/>
  <c r="H1074" i="2"/>
  <c r="G1075" i="2"/>
  <c r="H1075" i="2"/>
  <c r="G1076" i="2"/>
  <c r="H1076" i="2"/>
  <c r="G1077" i="2"/>
  <c r="H1077" i="2"/>
  <c r="G1078" i="2"/>
  <c r="H1078" i="2"/>
  <c r="G1079" i="2"/>
  <c r="H1079" i="2"/>
  <c r="G1080" i="2"/>
  <c r="H1080" i="2"/>
  <c r="G1081" i="2"/>
  <c r="H1081" i="2"/>
  <c r="G1082" i="2"/>
  <c r="H1082" i="2"/>
  <c r="G1083" i="2"/>
  <c r="H1083" i="2"/>
  <c r="G1084" i="2"/>
  <c r="H1084" i="2"/>
  <c r="G1085" i="2"/>
  <c r="H1085" i="2"/>
  <c r="G1086" i="2"/>
  <c r="H1086" i="2"/>
  <c r="G1087" i="2"/>
  <c r="H1087" i="2"/>
  <c r="G1088" i="2"/>
  <c r="H1088" i="2"/>
  <c r="G1089" i="2"/>
  <c r="H1089" i="2"/>
  <c r="G1090" i="2"/>
  <c r="H1090" i="2"/>
  <c r="G1091" i="2"/>
  <c r="H1091" i="2"/>
  <c r="G1092" i="2"/>
  <c r="H1092" i="2"/>
  <c r="G1093" i="2"/>
  <c r="H1093" i="2"/>
  <c r="G1094" i="2"/>
  <c r="H1094" i="2"/>
  <c r="G1095" i="2"/>
  <c r="H1095" i="2"/>
  <c r="G1096" i="2"/>
  <c r="H1096" i="2"/>
  <c r="G1097" i="2"/>
  <c r="H1097" i="2"/>
  <c r="G1098" i="2"/>
  <c r="H1098" i="2"/>
  <c r="G1099" i="2"/>
  <c r="H1099" i="2"/>
  <c r="G1100" i="2"/>
  <c r="H1100" i="2"/>
  <c r="G1101" i="2"/>
  <c r="H1101" i="2"/>
  <c r="G1102" i="2"/>
  <c r="H1102" i="2"/>
  <c r="G1103" i="2"/>
  <c r="H1103" i="2"/>
  <c r="G1104" i="2"/>
  <c r="H1104" i="2"/>
  <c r="G1105" i="2"/>
  <c r="H1105" i="2"/>
  <c r="G1106" i="2"/>
  <c r="H1106" i="2"/>
  <c r="G1107" i="2"/>
  <c r="H1107" i="2"/>
  <c r="G1108" i="2"/>
  <c r="H1108" i="2"/>
  <c r="G1109" i="2"/>
  <c r="H1109" i="2"/>
  <c r="G1110" i="2"/>
  <c r="H1110" i="2"/>
  <c r="G1111" i="2"/>
  <c r="H1111" i="2"/>
  <c r="G1112" i="2"/>
  <c r="H1112" i="2"/>
  <c r="G1113" i="2"/>
  <c r="H1113" i="2"/>
  <c r="G1114" i="2"/>
  <c r="H1114" i="2"/>
  <c r="G1115" i="2"/>
  <c r="H1115" i="2"/>
  <c r="G1116" i="2"/>
  <c r="H1116" i="2"/>
  <c r="G1117" i="2"/>
  <c r="H1117" i="2"/>
  <c r="G1118" i="2"/>
  <c r="H1118" i="2"/>
  <c r="G1119" i="2"/>
  <c r="H1119" i="2"/>
  <c r="G1120" i="2"/>
  <c r="H1120" i="2"/>
  <c r="G1121" i="2"/>
  <c r="H1121" i="2"/>
  <c r="G1122" i="2"/>
  <c r="H1122" i="2"/>
  <c r="G1123" i="2"/>
  <c r="H1123" i="2"/>
  <c r="G1124" i="2"/>
  <c r="H1124" i="2"/>
  <c r="G1125" i="2"/>
  <c r="H1125" i="2"/>
  <c r="G1126" i="2"/>
  <c r="H1126" i="2"/>
  <c r="G1127" i="2"/>
  <c r="H1127" i="2"/>
  <c r="G1128" i="2"/>
  <c r="H1128" i="2"/>
  <c r="G1129" i="2"/>
  <c r="H1129" i="2"/>
  <c r="G1130" i="2"/>
  <c r="H1130" i="2"/>
  <c r="G1131" i="2"/>
  <c r="H1131" i="2"/>
  <c r="G1132" i="2"/>
  <c r="H1132" i="2"/>
  <c r="G1133" i="2"/>
  <c r="H1133" i="2"/>
  <c r="G1134" i="2"/>
  <c r="H1134" i="2"/>
  <c r="G1135" i="2"/>
  <c r="H1135" i="2"/>
  <c r="G1136" i="2"/>
  <c r="H1136" i="2"/>
  <c r="G1137" i="2"/>
  <c r="H1137" i="2"/>
  <c r="G1138" i="2"/>
  <c r="H1138" i="2"/>
  <c r="G1139" i="2"/>
  <c r="H1139" i="2"/>
  <c r="G1140" i="2"/>
  <c r="H1140" i="2"/>
  <c r="G1141" i="2"/>
  <c r="H1141" i="2"/>
  <c r="G1142" i="2"/>
  <c r="H1142" i="2"/>
  <c r="G1143" i="2"/>
  <c r="H1143" i="2"/>
  <c r="G1144" i="2"/>
  <c r="H1144" i="2"/>
  <c r="G1145" i="2"/>
  <c r="H1145" i="2"/>
  <c r="G1146" i="2"/>
  <c r="H1146" i="2"/>
  <c r="G1147" i="2"/>
  <c r="H1147" i="2"/>
  <c r="G1148" i="2"/>
  <c r="H1148" i="2"/>
  <c r="G1149" i="2"/>
  <c r="H1149" i="2"/>
  <c r="G1150" i="2"/>
  <c r="H1150" i="2"/>
  <c r="G1151" i="2"/>
  <c r="H1151" i="2"/>
  <c r="G1152" i="2"/>
  <c r="H1152" i="2"/>
  <c r="G1153" i="2"/>
  <c r="H1153" i="2"/>
  <c r="G1154" i="2"/>
  <c r="H1154" i="2"/>
  <c r="G1155" i="2"/>
  <c r="H1155" i="2"/>
  <c r="G1156" i="2"/>
  <c r="H1156" i="2"/>
  <c r="G1157" i="2"/>
  <c r="H1157" i="2"/>
  <c r="G1158" i="2"/>
  <c r="H1158" i="2"/>
  <c r="G1159" i="2"/>
  <c r="H1159" i="2"/>
  <c r="G1160" i="2"/>
  <c r="H1160" i="2"/>
  <c r="G1161" i="2"/>
  <c r="H1161" i="2"/>
  <c r="G1162" i="2"/>
  <c r="H1162" i="2"/>
  <c r="G1163" i="2"/>
  <c r="H1163" i="2"/>
  <c r="G1164" i="2"/>
  <c r="H1164" i="2"/>
  <c r="G1165" i="2"/>
  <c r="H1165" i="2"/>
  <c r="G1166" i="2"/>
  <c r="H1166" i="2"/>
  <c r="G1167" i="2"/>
  <c r="H1167" i="2"/>
  <c r="G1168" i="2"/>
  <c r="H1168" i="2"/>
  <c r="G1169" i="2"/>
  <c r="H1169" i="2"/>
  <c r="G1170" i="2"/>
  <c r="H1170" i="2"/>
  <c r="G1171" i="2"/>
  <c r="H1171" i="2"/>
  <c r="G1172" i="2"/>
  <c r="H1172" i="2"/>
  <c r="G1173" i="2"/>
  <c r="H1173" i="2"/>
  <c r="G1174" i="2"/>
  <c r="H1174" i="2"/>
  <c r="G1175" i="2"/>
  <c r="H1175" i="2"/>
  <c r="G1176" i="2"/>
  <c r="H1176" i="2"/>
  <c r="G1177" i="2"/>
  <c r="H1177" i="2"/>
  <c r="G1178" i="2"/>
  <c r="H1178" i="2"/>
  <c r="G1179" i="2"/>
  <c r="H1179" i="2"/>
  <c r="G1180" i="2"/>
  <c r="H1180" i="2"/>
  <c r="G1181" i="2"/>
  <c r="H1181" i="2"/>
  <c r="G1182" i="2"/>
  <c r="H1182" i="2"/>
  <c r="G1183" i="2"/>
  <c r="H1183" i="2"/>
  <c r="G1184" i="2"/>
  <c r="H1184" i="2"/>
  <c r="G1185" i="2"/>
  <c r="H1185" i="2"/>
  <c r="G1186" i="2"/>
  <c r="H1186" i="2"/>
  <c r="G1187" i="2"/>
  <c r="H1187" i="2"/>
  <c r="G1188" i="2"/>
  <c r="H1188" i="2"/>
  <c r="G1189" i="2"/>
  <c r="H1189" i="2"/>
  <c r="G1190" i="2"/>
  <c r="H1190" i="2"/>
  <c r="G1191" i="2"/>
  <c r="H1191" i="2"/>
  <c r="G1192" i="2"/>
  <c r="H1192" i="2"/>
  <c r="G1193" i="2"/>
  <c r="H1193" i="2"/>
  <c r="G1194" i="2"/>
  <c r="H1194" i="2"/>
  <c r="G1195" i="2"/>
  <c r="H1195" i="2"/>
  <c r="G1196" i="2"/>
  <c r="H1196" i="2"/>
  <c r="G1197" i="2"/>
  <c r="H1197" i="2"/>
  <c r="G1198" i="2"/>
  <c r="H1198" i="2"/>
  <c r="G1199" i="2"/>
  <c r="H1199" i="2"/>
  <c r="G1200" i="2"/>
  <c r="H1200" i="2"/>
  <c r="G1201" i="2"/>
  <c r="H1201" i="2"/>
  <c r="G1202" i="2"/>
  <c r="H1202" i="2"/>
  <c r="G1203" i="2"/>
  <c r="H1203" i="2"/>
  <c r="G1204" i="2"/>
  <c r="H1204" i="2"/>
  <c r="G1205" i="2"/>
  <c r="H1205" i="2"/>
  <c r="G1206" i="2"/>
  <c r="H1206" i="2"/>
  <c r="G1207" i="2"/>
  <c r="H1207" i="2"/>
  <c r="G1208" i="2"/>
  <c r="H1208" i="2"/>
  <c r="G1209" i="2"/>
  <c r="H1209" i="2"/>
  <c r="G1210" i="2"/>
  <c r="H1210" i="2"/>
  <c r="G1211" i="2"/>
  <c r="H1211" i="2"/>
  <c r="G1212" i="2"/>
  <c r="H1212" i="2"/>
  <c r="G1213" i="2"/>
  <c r="H1213" i="2"/>
  <c r="G1214" i="2"/>
  <c r="H1214" i="2"/>
  <c r="G1215" i="2"/>
  <c r="H1215" i="2"/>
  <c r="G1216" i="2"/>
  <c r="H1216" i="2"/>
  <c r="G1217" i="2"/>
  <c r="H1217" i="2"/>
  <c r="G1218" i="2"/>
  <c r="H1218" i="2"/>
  <c r="G1219" i="2"/>
  <c r="H1219" i="2"/>
  <c r="G1220" i="2"/>
  <c r="H1220" i="2"/>
  <c r="G1221" i="2"/>
  <c r="H1221" i="2"/>
  <c r="G1222" i="2"/>
  <c r="H1222" i="2"/>
  <c r="G1223" i="2"/>
  <c r="H1223" i="2"/>
  <c r="G1224" i="2"/>
  <c r="H1224" i="2"/>
  <c r="G1225" i="2"/>
  <c r="H1225" i="2"/>
  <c r="G1226" i="2"/>
  <c r="H1226" i="2"/>
  <c r="G1227" i="2"/>
  <c r="H1227" i="2"/>
  <c r="G1228" i="2"/>
  <c r="H1228" i="2"/>
  <c r="G1229" i="2"/>
  <c r="H1229" i="2"/>
  <c r="G1230" i="2"/>
  <c r="H1230" i="2"/>
  <c r="G1231" i="2"/>
  <c r="H1231" i="2"/>
  <c r="G1232" i="2"/>
  <c r="H1232" i="2"/>
  <c r="G1233" i="2"/>
  <c r="H1233" i="2"/>
  <c r="G1234" i="2"/>
  <c r="H1234" i="2"/>
  <c r="G1235" i="2"/>
  <c r="H1235" i="2"/>
  <c r="G1236" i="2"/>
  <c r="H1236" i="2"/>
  <c r="G1237" i="2"/>
  <c r="H1237" i="2"/>
  <c r="G1238" i="2"/>
  <c r="H1238" i="2"/>
  <c r="G1239" i="2"/>
  <c r="H1239" i="2"/>
  <c r="G1240" i="2"/>
  <c r="H1240" i="2"/>
  <c r="G1241" i="2"/>
  <c r="H1241" i="2"/>
  <c r="G1242" i="2"/>
  <c r="H1242" i="2"/>
  <c r="G1243" i="2"/>
  <c r="H1243" i="2"/>
  <c r="G1244" i="2"/>
  <c r="H1244" i="2"/>
  <c r="G1245" i="2"/>
  <c r="H1245" i="2"/>
  <c r="G1246" i="2"/>
  <c r="H1246" i="2"/>
  <c r="G1247" i="2"/>
  <c r="H1247" i="2"/>
  <c r="G1248" i="2"/>
  <c r="H1248" i="2"/>
  <c r="G1249" i="2"/>
  <c r="H1249" i="2"/>
  <c r="G1250" i="2"/>
  <c r="H1250" i="2"/>
  <c r="G1251" i="2"/>
  <c r="H1251" i="2"/>
  <c r="G1252" i="2"/>
  <c r="H1252" i="2"/>
  <c r="G1253" i="2"/>
  <c r="H1253" i="2"/>
  <c r="G1254" i="2"/>
  <c r="H1254" i="2"/>
  <c r="G1255" i="2"/>
  <c r="H1255" i="2"/>
  <c r="G1256" i="2"/>
  <c r="H1256" i="2"/>
  <c r="G1257" i="2"/>
  <c r="H1257" i="2"/>
  <c r="G1258" i="2"/>
  <c r="H1258" i="2"/>
  <c r="G1259" i="2"/>
  <c r="H1259" i="2"/>
  <c r="G1260" i="2"/>
  <c r="H1260" i="2"/>
  <c r="G1261" i="2"/>
  <c r="H1261" i="2"/>
  <c r="G1262" i="2"/>
  <c r="H1262" i="2"/>
  <c r="G1263" i="2"/>
  <c r="H1263" i="2"/>
  <c r="G1264" i="2"/>
  <c r="H1264" i="2"/>
  <c r="G1265" i="2"/>
  <c r="H1265" i="2"/>
  <c r="G1266" i="2"/>
  <c r="H1266" i="2"/>
  <c r="G1267" i="2"/>
  <c r="H1267" i="2"/>
  <c r="G1268" i="2"/>
  <c r="H1268" i="2"/>
  <c r="G1269" i="2"/>
  <c r="H1269" i="2"/>
  <c r="G1270" i="2"/>
  <c r="H1270" i="2"/>
  <c r="G1271" i="2"/>
  <c r="H1271" i="2"/>
  <c r="G1272" i="2"/>
  <c r="H1272" i="2"/>
  <c r="G1273" i="2"/>
  <c r="H1273" i="2"/>
  <c r="G1274" i="2"/>
  <c r="H1274" i="2"/>
  <c r="G1275" i="2"/>
  <c r="H1275" i="2"/>
  <c r="G1276" i="2"/>
  <c r="H1276" i="2"/>
  <c r="G1277" i="2"/>
  <c r="H1277" i="2"/>
  <c r="G1278" i="2"/>
  <c r="H1278" i="2"/>
  <c r="G1279" i="2"/>
  <c r="H1279" i="2"/>
  <c r="G1280" i="2"/>
  <c r="H1280" i="2"/>
  <c r="G1281" i="2"/>
  <c r="H1281" i="2"/>
  <c r="G1282" i="2"/>
  <c r="H1282" i="2"/>
  <c r="G1283" i="2"/>
  <c r="H1283" i="2"/>
  <c r="G1284" i="2"/>
  <c r="H1284" i="2"/>
  <c r="G1285" i="2"/>
  <c r="H1285" i="2"/>
  <c r="G1286" i="2"/>
  <c r="H1286" i="2"/>
  <c r="G1287" i="2"/>
  <c r="H1287" i="2"/>
  <c r="G1288" i="2"/>
  <c r="H1288" i="2"/>
  <c r="G1289" i="2"/>
  <c r="H1289" i="2"/>
  <c r="G1290" i="2"/>
  <c r="H1290" i="2"/>
  <c r="G1291" i="2"/>
  <c r="H1291" i="2"/>
  <c r="G1292" i="2"/>
  <c r="H1292" i="2"/>
  <c r="G1293" i="2"/>
  <c r="H1293" i="2"/>
  <c r="G1294" i="2"/>
  <c r="H1294" i="2"/>
  <c r="G1295" i="2"/>
  <c r="H1295" i="2"/>
  <c r="G1296" i="2"/>
  <c r="H1296" i="2"/>
  <c r="G1297" i="2"/>
  <c r="H1297" i="2"/>
  <c r="G1298" i="2"/>
  <c r="H1298" i="2"/>
  <c r="G1299" i="2"/>
  <c r="H1299" i="2"/>
  <c r="G1300" i="2"/>
  <c r="H1300" i="2"/>
  <c r="G1301" i="2"/>
  <c r="H1301" i="2"/>
  <c r="G1302" i="2"/>
  <c r="H1302" i="2"/>
  <c r="G1303" i="2"/>
  <c r="H1303" i="2"/>
  <c r="G1304" i="2"/>
  <c r="H1304" i="2"/>
  <c r="G1305" i="2"/>
  <c r="H1305" i="2"/>
  <c r="G1306" i="2"/>
  <c r="H1306" i="2"/>
  <c r="G1307" i="2"/>
  <c r="H1307" i="2"/>
  <c r="G1308" i="2"/>
  <c r="H1308" i="2"/>
  <c r="G1309" i="2"/>
  <c r="H1309" i="2"/>
  <c r="G1310" i="2"/>
  <c r="H1310" i="2"/>
  <c r="G1311" i="2"/>
  <c r="H1311" i="2"/>
  <c r="G1312" i="2"/>
  <c r="H1312" i="2"/>
  <c r="G1313" i="2"/>
  <c r="H1313" i="2"/>
  <c r="G1314" i="2"/>
  <c r="H1314" i="2"/>
  <c r="G1315" i="2"/>
  <c r="H1315" i="2"/>
  <c r="G1316" i="2"/>
  <c r="H1316" i="2"/>
  <c r="G1317" i="2"/>
  <c r="H1317" i="2"/>
  <c r="G1318" i="2"/>
  <c r="H1318" i="2"/>
  <c r="G1319" i="2"/>
  <c r="H1319" i="2"/>
  <c r="G1320" i="2"/>
  <c r="H1320" i="2"/>
  <c r="G1321" i="2"/>
  <c r="H1321" i="2"/>
  <c r="G1322" i="2"/>
  <c r="H1322" i="2"/>
  <c r="G1323" i="2"/>
  <c r="H1323" i="2"/>
  <c r="G1324" i="2"/>
  <c r="H1324" i="2"/>
  <c r="G1325" i="2"/>
  <c r="H1325" i="2"/>
  <c r="G1326" i="2"/>
  <c r="H1326" i="2"/>
  <c r="G1327" i="2"/>
  <c r="H1327" i="2"/>
  <c r="G1328" i="2"/>
  <c r="H1328" i="2"/>
  <c r="G1329" i="2"/>
  <c r="H1329" i="2"/>
  <c r="G1330" i="2"/>
  <c r="H1330" i="2"/>
  <c r="G1331" i="2"/>
  <c r="H1331" i="2"/>
  <c r="G1332" i="2"/>
  <c r="H1332" i="2"/>
  <c r="G1333" i="2"/>
  <c r="H1333" i="2"/>
  <c r="G1334" i="2"/>
  <c r="H1334" i="2"/>
  <c r="G1335" i="2"/>
  <c r="H1335" i="2"/>
  <c r="G1336" i="2"/>
  <c r="H1336" i="2"/>
  <c r="G1337" i="2"/>
  <c r="H1337" i="2"/>
  <c r="G1338" i="2"/>
  <c r="H1338" i="2"/>
  <c r="G1339" i="2"/>
  <c r="H1339" i="2"/>
  <c r="G1340" i="2"/>
  <c r="H1340" i="2"/>
  <c r="G1341" i="2"/>
  <c r="H1341" i="2"/>
  <c r="G1342" i="2"/>
  <c r="H1342" i="2"/>
  <c r="G1343" i="2"/>
  <c r="H1343" i="2"/>
  <c r="G1344" i="2"/>
  <c r="H1344" i="2"/>
  <c r="G1345" i="2"/>
  <c r="H1345" i="2"/>
  <c r="G1346" i="2"/>
  <c r="H1346" i="2"/>
  <c r="G1347" i="2"/>
  <c r="H1347" i="2"/>
  <c r="G1348" i="2"/>
  <c r="H1348" i="2"/>
  <c r="G1349" i="2"/>
  <c r="H1349" i="2"/>
  <c r="G1350" i="2"/>
  <c r="H1350" i="2"/>
  <c r="G1351" i="2"/>
  <c r="H1351" i="2"/>
  <c r="G1352" i="2"/>
  <c r="H1352" i="2"/>
  <c r="G1353" i="2"/>
  <c r="H1353" i="2"/>
  <c r="G1354" i="2"/>
  <c r="H1354" i="2"/>
  <c r="G1355" i="2"/>
  <c r="H1355" i="2"/>
  <c r="G1356" i="2"/>
  <c r="H1356" i="2"/>
  <c r="G1357" i="2"/>
  <c r="H1357" i="2"/>
  <c r="G1358" i="2"/>
  <c r="H1358" i="2"/>
  <c r="G1359" i="2"/>
  <c r="H1359" i="2"/>
  <c r="G1360" i="2"/>
  <c r="H1360" i="2"/>
  <c r="G1361" i="2"/>
  <c r="H1361" i="2"/>
  <c r="G1362" i="2"/>
  <c r="H1362" i="2"/>
  <c r="G1363" i="2"/>
  <c r="H1363" i="2"/>
  <c r="G1364" i="2"/>
  <c r="H1364" i="2"/>
  <c r="G1365" i="2"/>
  <c r="H1365" i="2"/>
  <c r="G1366" i="2"/>
  <c r="H1366" i="2"/>
  <c r="G1367" i="2"/>
  <c r="H1367" i="2"/>
  <c r="G1368" i="2"/>
  <c r="H1368" i="2"/>
  <c r="G1369" i="2"/>
  <c r="H1369" i="2"/>
  <c r="G1370" i="2"/>
  <c r="H1370" i="2"/>
  <c r="G1371" i="2"/>
  <c r="H1371" i="2"/>
  <c r="G1372" i="2"/>
  <c r="H1372" i="2"/>
  <c r="G1373" i="2"/>
  <c r="H1373" i="2"/>
  <c r="G1374" i="2"/>
  <c r="H1374" i="2"/>
  <c r="G1375" i="2"/>
  <c r="H1375" i="2"/>
  <c r="G1376" i="2"/>
  <c r="H1376" i="2"/>
  <c r="G1377" i="2"/>
  <c r="H1377" i="2"/>
  <c r="G1378" i="2"/>
  <c r="H1378" i="2"/>
  <c r="G1379" i="2"/>
  <c r="H1379" i="2"/>
  <c r="G1380" i="2"/>
  <c r="H1380" i="2"/>
  <c r="G1381" i="2"/>
  <c r="H1381" i="2"/>
  <c r="G1382" i="2"/>
  <c r="H1382" i="2"/>
  <c r="G1383" i="2"/>
  <c r="H1383" i="2"/>
  <c r="G1384" i="2"/>
  <c r="H1384" i="2"/>
  <c r="G1385" i="2"/>
  <c r="H1385" i="2"/>
  <c r="G1386" i="2"/>
  <c r="H1386" i="2"/>
  <c r="G1387" i="2"/>
  <c r="H1387" i="2"/>
  <c r="G1388" i="2"/>
  <c r="H1388" i="2"/>
  <c r="G1389" i="2"/>
  <c r="H1389" i="2"/>
  <c r="G1390" i="2"/>
  <c r="H1390" i="2"/>
  <c r="G1391" i="2"/>
  <c r="H1391" i="2"/>
  <c r="G1392" i="2"/>
  <c r="H1392" i="2"/>
  <c r="G1393" i="2"/>
  <c r="H1393" i="2"/>
  <c r="G1394" i="2"/>
  <c r="H1394" i="2"/>
  <c r="G1395" i="2"/>
  <c r="H1395" i="2"/>
  <c r="G1396" i="2"/>
  <c r="H1396" i="2"/>
  <c r="G1397" i="2"/>
  <c r="H1397" i="2"/>
  <c r="G1398" i="2"/>
  <c r="H1398" i="2"/>
  <c r="G1399" i="2"/>
  <c r="H1399" i="2"/>
  <c r="G1400" i="2"/>
  <c r="H1400" i="2"/>
  <c r="G1401" i="2"/>
  <c r="H1401" i="2"/>
  <c r="G1402" i="2"/>
  <c r="H1402" i="2"/>
  <c r="G1403" i="2"/>
  <c r="H1403" i="2"/>
  <c r="G1404" i="2"/>
  <c r="H1404" i="2"/>
  <c r="G1405" i="2"/>
  <c r="H1405" i="2"/>
  <c r="G1406" i="2"/>
  <c r="H1406" i="2"/>
  <c r="G1407" i="2"/>
  <c r="H1407" i="2"/>
  <c r="G1408" i="2"/>
  <c r="H1408" i="2"/>
  <c r="G1409" i="2"/>
  <c r="H1409" i="2"/>
  <c r="G1410" i="2"/>
  <c r="H1410" i="2"/>
  <c r="G1411" i="2"/>
  <c r="H1411" i="2"/>
  <c r="G1412" i="2"/>
  <c r="H1412" i="2"/>
  <c r="G1413" i="2"/>
  <c r="H1413" i="2"/>
  <c r="G1414" i="2"/>
  <c r="H1414" i="2"/>
  <c r="G1415" i="2"/>
  <c r="H1415" i="2"/>
  <c r="G1416" i="2"/>
  <c r="H1416" i="2"/>
  <c r="G1417" i="2"/>
  <c r="H1417" i="2"/>
  <c r="G1418" i="2"/>
  <c r="H1418" i="2"/>
  <c r="G1419" i="2"/>
  <c r="H1419" i="2"/>
  <c r="G1420" i="2"/>
  <c r="H1420" i="2"/>
  <c r="G1421" i="2"/>
  <c r="H1421" i="2"/>
  <c r="G1422" i="2"/>
  <c r="H1422" i="2"/>
  <c r="G1423" i="2"/>
  <c r="H1423" i="2"/>
  <c r="G1424" i="2"/>
  <c r="H1424" i="2"/>
  <c r="G1425" i="2"/>
  <c r="H1425" i="2"/>
  <c r="G1426" i="2"/>
  <c r="H1426" i="2"/>
  <c r="G1427" i="2"/>
  <c r="H1427" i="2"/>
  <c r="G1428" i="2"/>
  <c r="H1428" i="2"/>
  <c r="G1429" i="2"/>
  <c r="H1429" i="2"/>
  <c r="G1430" i="2"/>
  <c r="H1430" i="2"/>
  <c r="G1431" i="2"/>
  <c r="H1431" i="2"/>
  <c r="G1432" i="2"/>
  <c r="H1432" i="2"/>
  <c r="G1433" i="2"/>
  <c r="H1433" i="2"/>
  <c r="G1434" i="2"/>
  <c r="H1434" i="2"/>
  <c r="G1435" i="2"/>
  <c r="H1435" i="2"/>
  <c r="G1436" i="2"/>
  <c r="H1436" i="2"/>
  <c r="G1437" i="2"/>
  <c r="H1437" i="2"/>
  <c r="G1438" i="2"/>
  <c r="H1438" i="2"/>
  <c r="G1439" i="2"/>
  <c r="H1439" i="2"/>
  <c r="G1440" i="2"/>
  <c r="H1440" i="2"/>
  <c r="G1441" i="2"/>
  <c r="H1441" i="2"/>
  <c r="G1442" i="2"/>
  <c r="H1442" i="2"/>
  <c r="G1443" i="2"/>
  <c r="H1443" i="2"/>
  <c r="G1444" i="2"/>
  <c r="H1444" i="2"/>
  <c r="G1445" i="2"/>
  <c r="H1445" i="2"/>
  <c r="G1446" i="2"/>
  <c r="H1446" i="2"/>
  <c r="G1447" i="2"/>
  <c r="H1447" i="2"/>
  <c r="G1448" i="2"/>
  <c r="H1448" i="2"/>
  <c r="G1449" i="2"/>
  <c r="H1449" i="2"/>
  <c r="G1450" i="2"/>
  <c r="H1450" i="2"/>
  <c r="G1451" i="2"/>
  <c r="H1451" i="2"/>
  <c r="G1452" i="2"/>
  <c r="H1452" i="2"/>
  <c r="G1453" i="2"/>
  <c r="H1453" i="2"/>
  <c r="G1454" i="2"/>
  <c r="H1454" i="2"/>
  <c r="G1455" i="2"/>
  <c r="H1455" i="2"/>
  <c r="G1456" i="2"/>
  <c r="H1456" i="2"/>
  <c r="G1457" i="2"/>
  <c r="H1457" i="2"/>
  <c r="G1458" i="2"/>
  <c r="H1458" i="2"/>
  <c r="G1459" i="2"/>
  <c r="H1459" i="2"/>
  <c r="G1460" i="2"/>
  <c r="H1460" i="2"/>
  <c r="G1461" i="2"/>
  <c r="H1461" i="2"/>
  <c r="G1462" i="2"/>
  <c r="H1462" i="2"/>
  <c r="G1463" i="2"/>
  <c r="H1463" i="2"/>
  <c r="G1464" i="2"/>
  <c r="H1464" i="2"/>
  <c r="G1465" i="2"/>
  <c r="H1465" i="2"/>
  <c r="G1466" i="2"/>
  <c r="H1466" i="2"/>
  <c r="G1467" i="2"/>
  <c r="H1467" i="2"/>
  <c r="G1468" i="2"/>
  <c r="H1468" i="2"/>
  <c r="G1469" i="2"/>
  <c r="H1469" i="2"/>
  <c r="G1470" i="2"/>
  <c r="H1470" i="2"/>
  <c r="G1471" i="2"/>
  <c r="H1471" i="2"/>
  <c r="G1472" i="2"/>
  <c r="H1472" i="2"/>
  <c r="G1473" i="2"/>
  <c r="H1473" i="2"/>
  <c r="G1474" i="2"/>
  <c r="H1474" i="2"/>
  <c r="G1475" i="2"/>
  <c r="H1475" i="2"/>
  <c r="G1476" i="2"/>
  <c r="H1476" i="2"/>
  <c r="G1477" i="2"/>
  <c r="H1477" i="2"/>
  <c r="G1478" i="2"/>
  <c r="H1478" i="2"/>
  <c r="G1479" i="2"/>
  <c r="H1479" i="2"/>
  <c r="G1480" i="2"/>
  <c r="H1480" i="2"/>
  <c r="G1481" i="2"/>
  <c r="H1481" i="2"/>
  <c r="G1482" i="2"/>
  <c r="H1482" i="2"/>
  <c r="G1483" i="2"/>
  <c r="H1483" i="2"/>
  <c r="G1484" i="2"/>
  <c r="H1484" i="2"/>
  <c r="G1485" i="2"/>
  <c r="H1485" i="2"/>
  <c r="G1486" i="2"/>
  <c r="H1486" i="2"/>
  <c r="G1487" i="2"/>
  <c r="H1487" i="2"/>
  <c r="G1488" i="2"/>
  <c r="H1488" i="2"/>
  <c r="G1489" i="2"/>
  <c r="H1489" i="2"/>
  <c r="G1490" i="2"/>
  <c r="H1490" i="2"/>
  <c r="G1491" i="2"/>
  <c r="H1491" i="2"/>
  <c r="G1492" i="2"/>
  <c r="H1492" i="2"/>
  <c r="G1493" i="2"/>
  <c r="H1493" i="2"/>
  <c r="G1494" i="2"/>
  <c r="H1494" i="2"/>
  <c r="G1495" i="2"/>
  <c r="H1495" i="2"/>
  <c r="G1496" i="2"/>
  <c r="H1496" i="2"/>
  <c r="G1497" i="2"/>
  <c r="H1497" i="2"/>
  <c r="G1498" i="2"/>
  <c r="H1498" i="2"/>
  <c r="G1499" i="2"/>
  <c r="H1499" i="2"/>
  <c r="G1500" i="2"/>
  <c r="H1500" i="2"/>
  <c r="G1501" i="2"/>
  <c r="H1501" i="2"/>
  <c r="G1502" i="2"/>
  <c r="H1502" i="2"/>
  <c r="G1503" i="2"/>
  <c r="H1503" i="2"/>
  <c r="G1504" i="2"/>
  <c r="H1504" i="2"/>
  <c r="G1505" i="2"/>
  <c r="H1505" i="2"/>
  <c r="G1506" i="2"/>
  <c r="H1506" i="2"/>
  <c r="G1507" i="2"/>
  <c r="H1507" i="2"/>
  <c r="G1508" i="2"/>
  <c r="H1508" i="2"/>
  <c r="G1509" i="2"/>
  <c r="H1509" i="2"/>
  <c r="G1510" i="2"/>
  <c r="H1510" i="2"/>
  <c r="G1511" i="2"/>
  <c r="H1511" i="2"/>
  <c r="G1512" i="2"/>
  <c r="H1512" i="2"/>
  <c r="G1513" i="2"/>
  <c r="H1513" i="2"/>
  <c r="G1514" i="2"/>
  <c r="H1514" i="2"/>
  <c r="G1515" i="2"/>
  <c r="H1515" i="2"/>
  <c r="G1516" i="2"/>
  <c r="H1516" i="2"/>
  <c r="G1517" i="2"/>
  <c r="H1517" i="2"/>
  <c r="G1518" i="2"/>
  <c r="H1518" i="2"/>
  <c r="G1519" i="2"/>
  <c r="H1519" i="2"/>
  <c r="G1520" i="2"/>
  <c r="H1520" i="2"/>
  <c r="G1521" i="2"/>
  <c r="H1521" i="2"/>
  <c r="G1522" i="2"/>
  <c r="H1522" i="2"/>
  <c r="G1523" i="2"/>
  <c r="H1523" i="2"/>
  <c r="G1524" i="2"/>
  <c r="H1524" i="2"/>
  <c r="G1525" i="2"/>
  <c r="H1525" i="2"/>
  <c r="G1526" i="2"/>
  <c r="H1526" i="2"/>
  <c r="G1527" i="2"/>
  <c r="H1527" i="2"/>
  <c r="G1528" i="2"/>
  <c r="H1528" i="2"/>
  <c r="G1529" i="2"/>
  <c r="H1529" i="2"/>
  <c r="G1530" i="2"/>
  <c r="H1530" i="2"/>
  <c r="G1531" i="2"/>
  <c r="H1531" i="2"/>
  <c r="G1532" i="2"/>
  <c r="H1532" i="2"/>
  <c r="G1533" i="2"/>
  <c r="H1533" i="2"/>
  <c r="G1534" i="2"/>
  <c r="H1534" i="2"/>
  <c r="G1535" i="2"/>
  <c r="H1535" i="2"/>
  <c r="G1536" i="2"/>
  <c r="H1536" i="2"/>
  <c r="G1537" i="2"/>
  <c r="H1537" i="2"/>
  <c r="G1538" i="2"/>
  <c r="H1538" i="2"/>
  <c r="G1539" i="2"/>
  <c r="H1539" i="2"/>
  <c r="G1540" i="2"/>
  <c r="H1540" i="2"/>
  <c r="G1541" i="2"/>
  <c r="H1541" i="2"/>
  <c r="G1542" i="2"/>
  <c r="H1542" i="2"/>
  <c r="G1543" i="2"/>
  <c r="H1543" i="2"/>
  <c r="G1544" i="2"/>
  <c r="H1544" i="2"/>
  <c r="G1545" i="2"/>
  <c r="H1545" i="2"/>
  <c r="G1546" i="2"/>
  <c r="H1546" i="2"/>
  <c r="G1547" i="2"/>
  <c r="H1547" i="2"/>
  <c r="G1548" i="2"/>
  <c r="H1548" i="2"/>
  <c r="G1549" i="2"/>
  <c r="H1549" i="2"/>
  <c r="G1550" i="2"/>
  <c r="H1550" i="2"/>
  <c r="G1551" i="2"/>
  <c r="H1551" i="2"/>
  <c r="G1552" i="2"/>
  <c r="H1552" i="2"/>
  <c r="G1553" i="2"/>
  <c r="H1553" i="2"/>
  <c r="G1554" i="2"/>
  <c r="H1554" i="2"/>
  <c r="G1555" i="2"/>
  <c r="H1555" i="2"/>
  <c r="G1556" i="2"/>
  <c r="H1556" i="2"/>
  <c r="G1557" i="2"/>
  <c r="H1557" i="2"/>
  <c r="G1558" i="2"/>
  <c r="H1558" i="2"/>
  <c r="G1559" i="2"/>
  <c r="H1559" i="2"/>
  <c r="G1560" i="2"/>
  <c r="H1560" i="2"/>
  <c r="G1561" i="2"/>
  <c r="H1561" i="2"/>
  <c r="G1562" i="2"/>
  <c r="H1562" i="2"/>
  <c r="G1563" i="2"/>
  <c r="H1563" i="2"/>
  <c r="G1564" i="2"/>
  <c r="H1564" i="2"/>
  <c r="G1565" i="2"/>
  <c r="H1565" i="2"/>
  <c r="G1566" i="2"/>
  <c r="H1566" i="2"/>
  <c r="G1567" i="2"/>
  <c r="H1567" i="2"/>
  <c r="G1568" i="2"/>
  <c r="H1568" i="2"/>
  <c r="G1569" i="2"/>
  <c r="H1569" i="2"/>
  <c r="G1570" i="2"/>
  <c r="H1570" i="2"/>
  <c r="G1571" i="2"/>
  <c r="H1571" i="2"/>
  <c r="G1572" i="2"/>
  <c r="H1572" i="2"/>
  <c r="G1573" i="2"/>
  <c r="H1573" i="2"/>
  <c r="G1574" i="2"/>
  <c r="H1574" i="2"/>
  <c r="G1575" i="2"/>
  <c r="H1575" i="2"/>
  <c r="G1576" i="2"/>
  <c r="H1576" i="2"/>
  <c r="G1577" i="2"/>
  <c r="H1577" i="2"/>
  <c r="G1578" i="2"/>
  <c r="H1578" i="2"/>
  <c r="G1579" i="2"/>
  <c r="H1579" i="2"/>
  <c r="G1580" i="2"/>
  <c r="H1580" i="2"/>
  <c r="G1581" i="2"/>
  <c r="H1581" i="2"/>
  <c r="G1582" i="2"/>
  <c r="H1582" i="2"/>
  <c r="G1583" i="2"/>
  <c r="H1583" i="2"/>
  <c r="G1584" i="2"/>
  <c r="H1584" i="2"/>
  <c r="G1585" i="2"/>
  <c r="H1585" i="2"/>
  <c r="G1586" i="2"/>
  <c r="H1586" i="2"/>
  <c r="G1587" i="2"/>
  <c r="H1587" i="2"/>
  <c r="G1588" i="2"/>
  <c r="H1588" i="2"/>
  <c r="G1589" i="2"/>
  <c r="H1589" i="2"/>
  <c r="G1590" i="2"/>
  <c r="H1590" i="2"/>
  <c r="G1591" i="2"/>
  <c r="H1591" i="2"/>
  <c r="G1592" i="2"/>
  <c r="H1592" i="2"/>
  <c r="G1593" i="2"/>
  <c r="H1593" i="2"/>
  <c r="G1594" i="2"/>
  <c r="H1594" i="2"/>
  <c r="G1595" i="2"/>
  <c r="H1595" i="2"/>
  <c r="G1596" i="2"/>
  <c r="H1596" i="2"/>
  <c r="G1597" i="2"/>
  <c r="H1597" i="2"/>
  <c r="G1598" i="2"/>
  <c r="H1598" i="2"/>
  <c r="G1599" i="2"/>
  <c r="H1599" i="2"/>
  <c r="G1600" i="2"/>
  <c r="H1600" i="2"/>
  <c r="G1601" i="2"/>
  <c r="H1601" i="2"/>
  <c r="G1602" i="2"/>
  <c r="H1602" i="2"/>
  <c r="G1603" i="2"/>
  <c r="H1603" i="2"/>
  <c r="G1604" i="2"/>
  <c r="H1604" i="2"/>
  <c r="G1605" i="2"/>
  <c r="H1605" i="2"/>
  <c r="G1606" i="2"/>
  <c r="H1606" i="2"/>
  <c r="G1607" i="2"/>
  <c r="H1607" i="2"/>
  <c r="G1608" i="2"/>
  <c r="H1608" i="2"/>
  <c r="G1609" i="2"/>
  <c r="H1609" i="2"/>
  <c r="G1610" i="2"/>
  <c r="H1610" i="2"/>
  <c r="G1611" i="2"/>
  <c r="H1611" i="2"/>
  <c r="G1612" i="2"/>
  <c r="H1612" i="2"/>
  <c r="G1613" i="2"/>
  <c r="H1613" i="2"/>
  <c r="G1614" i="2"/>
  <c r="H1614" i="2"/>
  <c r="G1615" i="2"/>
  <c r="H1615" i="2"/>
  <c r="G1616" i="2"/>
  <c r="H1616" i="2"/>
  <c r="G1617" i="2"/>
  <c r="H1617" i="2"/>
  <c r="G1618" i="2"/>
  <c r="H1618" i="2"/>
  <c r="G1619" i="2"/>
  <c r="H1619" i="2"/>
  <c r="G1620" i="2"/>
  <c r="H1620" i="2"/>
  <c r="G1621" i="2"/>
  <c r="H1621" i="2"/>
  <c r="G1622" i="2"/>
  <c r="H1622" i="2"/>
  <c r="G1623" i="2"/>
  <c r="H1623" i="2"/>
  <c r="G1624" i="2"/>
  <c r="H1624" i="2"/>
  <c r="G1625" i="2"/>
  <c r="H1625" i="2"/>
  <c r="G1626" i="2"/>
  <c r="H1626" i="2"/>
  <c r="G1627" i="2"/>
  <c r="H1627" i="2"/>
  <c r="G1628" i="2"/>
  <c r="H1628" i="2"/>
  <c r="G1629" i="2"/>
  <c r="H1629" i="2"/>
  <c r="G1630" i="2"/>
  <c r="H1630" i="2"/>
  <c r="G1631" i="2"/>
  <c r="H1631" i="2"/>
  <c r="G1632" i="2"/>
  <c r="H1632" i="2"/>
  <c r="G1633" i="2"/>
  <c r="H1633" i="2"/>
  <c r="G1634" i="2"/>
  <c r="H1634" i="2"/>
  <c r="G1635" i="2"/>
  <c r="H1635" i="2"/>
  <c r="G1636" i="2"/>
  <c r="H1636" i="2"/>
  <c r="G1637" i="2"/>
  <c r="H1637" i="2"/>
  <c r="G1638" i="2"/>
  <c r="H1638" i="2"/>
  <c r="G1639" i="2"/>
  <c r="H1639" i="2"/>
  <c r="G1640" i="2"/>
  <c r="H1640" i="2"/>
  <c r="G1641" i="2"/>
  <c r="H1641" i="2"/>
  <c r="G1642" i="2"/>
  <c r="H1642" i="2"/>
  <c r="G1643" i="2"/>
  <c r="H1643" i="2"/>
  <c r="G1644" i="2"/>
  <c r="H1644" i="2"/>
  <c r="G1645" i="2"/>
  <c r="H1645" i="2"/>
  <c r="G1646" i="2"/>
  <c r="H1646" i="2"/>
  <c r="G1647" i="2"/>
  <c r="H1647" i="2"/>
  <c r="G1648" i="2"/>
  <c r="H1648" i="2"/>
  <c r="G1649" i="2"/>
  <c r="H1649" i="2"/>
  <c r="G1650" i="2"/>
  <c r="H1650" i="2"/>
  <c r="G1651" i="2"/>
  <c r="H1651" i="2"/>
  <c r="G1652" i="2"/>
  <c r="H1652" i="2"/>
  <c r="G1653" i="2"/>
  <c r="H1653" i="2"/>
  <c r="G1654" i="2"/>
  <c r="H1654" i="2"/>
  <c r="G1655" i="2"/>
  <c r="H1655" i="2"/>
  <c r="G1656" i="2"/>
  <c r="H1656" i="2"/>
  <c r="G1657" i="2"/>
  <c r="H1657" i="2"/>
  <c r="G1658" i="2"/>
  <c r="H1658" i="2"/>
  <c r="G1659" i="2"/>
  <c r="H1659" i="2"/>
  <c r="G1660" i="2"/>
  <c r="H1660" i="2"/>
  <c r="G1661" i="2"/>
  <c r="H1661" i="2"/>
  <c r="G1662" i="2"/>
  <c r="H1662" i="2"/>
  <c r="G1663" i="2"/>
  <c r="H1663" i="2"/>
  <c r="G1664" i="2"/>
  <c r="H1664" i="2"/>
  <c r="G1665" i="2"/>
  <c r="H1665" i="2"/>
  <c r="G1666" i="2"/>
  <c r="H1666" i="2"/>
  <c r="G1667" i="2"/>
  <c r="H1667" i="2"/>
  <c r="G1668" i="2"/>
  <c r="H1668" i="2"/>
  <c r="G1669" i="2"/>
  <c r="H1669" i="2"/>
  <c r="G1670" i="2"/>
  <c r="H1670" i="2"/>
  <c r="G1671" i="2"/>
  <c r="H1671" i="2"/>
  <c r="G1672" i="2"/>
  <c r="H1672" i="2"/>
  <c r="G1673" i="2"/>
  <c r="H1673" i="2"/>
  <c r="G1674" i="2"/>
  <c r="H1674" i="2"/>
  <c r="G1675" i="2"/>
  <c r="H1675" i="2"/>
  <c r="G1676" i="2"/>
  <c r="H1676" i="2"/>
  <c r="G1677" i="2"/>
  <c r="H1677" i="2"/>
  <c r="G1678" i="2"/>
  <c r="H1678" i="2"/>
  <c r="G1679" i="2"/>
  <c r="H1679" i="2"/>
  <c r="G1680" i="2"/>
  <c r="H1680" i="2"/>
  <c r="G1681" i="2"/>
  <c r="H1681" i="2"/>
  <c r="G1682" i="2"/>
  <c r="H1682" i="2"/>
  <c r="G1683" i="2"/>
  <c r="H1683" i="2"/>
  <c r="G1684" i="2"/>
  <c r="H1684" i="2"/>
  <c r="G1685" i="2"/>
  <c r="H1685" i="2"/>
  <c r="G1686" i="2"/>
  <c r="H1686" i="2"/>
  <c r="G1687" i="2"/>
  <c r="H1687" i="2"/>
  <c r="G1688" i="2"/>
  <c r="H1688" i="2"/>
  <c r="G1689" i="2"/>
  <c r="H1689" i="2"/>
  <c r="G1690" i="2"/>
  <c r="H1690" i="2"/>
  <c r="G1691" i="2"/>
  <c r="H1691" i="2"/>
  <c r="G1692" i="2"/>
  <c r="H1692" i="2"/>
  <c r="G1693" i="2"/>
  <c r="H1693" i="2"/>
  <c r="G1694" i="2"/>
  <c r="H1694" i="2"/>
  <c r="G1695" i="2"/>
  <c r="H1695" i="2"/>
  <c r="G1696" i="2"/>
  <c r="H1696" i="2"/>
  <c r="G1697" i="2"/>
  <c r="H1697" i="2"/>
  <c r="G1698" i="2"/>
  <c r="H1698" i="2"/>
  <c r="G1699" i="2"/>
  <c r="H1699" i="2"/>
  <c r="G1700" i="2"/>
  <c r="H1700" i="2"/>
  <c r="G1701" i="2"/>
  <c r="H1701" i="2"/>
  <c r="G1702" i="2"/>
  <c r="H1702" i="2"/>
  <c r="G1703" i="2"/>
  <c r="H1703" i="2"/>
  <c r="G1704" i="2"/>
  <c r="H1704" i="2"/>
  <c r="G1705" i="2"/>
  <c r="H1705" i="2"/>
  <c r="G1706" i="2"/>
  <c r="H1706" i="2"/>
  <c r="G1707" i="2"/>
  <c r="H1707" i="2"/>
  <c r="G1708" i="2"/>
  <c r="H1708" i="2"/>
  <c r="G1709" i="2"/>
  <c r="H1709" i="2"/>
  <c r="G1710" i="2"/>
  <c r="H1710" i="2"/>
  <c r="G1711" i="2"/>
  <c r="H1711" i="2"/>
  <c r="G1712" i="2"/>
  <c r="H1712" i="2"/>
  <c r="G1713" i="2"/>
  <c r="H1713" i="2"/>
  <c r="G1714" i="2"/>
  <c r="H1714" i="2"/>
  <c r="G1715" i="2"/>
  <c r="H1715" i="2"/>
  <c r="G1716" i="2"/>
  <c r="H1716" i="2"/>
  <c r="G1717" i="2"/>
  <c r="H1717" i="2"/>
  <c r="G1718" i="2"/>
  <c r="H1718" i="2"/>
  <c r="G1719" i="2"/>
  <c r="H1719" i="2"/>
  <c r="G1720" i="2"/>
  <c r="H1720" i="2"/>
  <c r="G1721" i="2"/>
  <c r="H1721" i="2"/>
  <c r="G1722" i="2"/>
  <c r="H1722" i="2"/>
  <c r="G1723" i="2"/>
  <c r="H1723" i="2"/>
  <c r="G1724" i="2"/>
  <c r="H1724" i="2"/>
  <c r="G1725" i="2"/>
  <c r="H1725" i="2"/>
  <c r="G1726" i="2"/>
  <c r="H1726" i="2"/>
  <c r="G1727" i="2"/>
  <c r="H1727" i="2"/>
  <c r="G1728" i="2"/>
  <c r="H1728" i="2"/>
  <c r="G1729" i="2"/>
  <c r="H1729" i="2"/>
  <c r="G1730" i="2"/>
  <c r="H1730" i="2"/>
  <c r="G1731" i="2"/>
  <c r="H1731" i="2"/>
  <c r="G1732" i="2"/>
  <c r="H1732" i="2"/>
  <c r="G1733" i="2"/>
  <c r="H1733" i="2"/>
  <c r="G1734" i="2"/>
  <c r="H1734" i="2"/>
  <c r="G1735" i="2"/>
  <c r="H1735" i="2"/>
  <c r="G1736" i="2"/>
  <c r="H1736" i="2"/>
  <c r="G1737" i="2"/>
  <c r="H1737" i="2"/>
  <c r="G1738" i="2"/>
  <c r="H1738" i="2"/>
  <c r="G1739" i="2"/>
  <c r="H1739" i="2"/>
  <c r="G1740" i="2"/>
  <c r="H1740" i="2"/>
  <c r="G1741" i="2"/>
  <c r="H1741" i="2"/>
  <c r="G1742" i="2"/>
  <c r="H1742" i="2"/>
  <c r="G1743" i="2"/>
  <c r="H1743" i="2"/>
  <c r="G1744" i="2"/>
  <c r="H1744" i="2"/>
  <c r="G1745" i="2"/>
  <c r="H1745" i="2"/>
  <c r="G1746" i="2"/>
  <c r="H1746" i="2"/>
  <c r="G1747" i="2"/>
  <c r="H1747" i="2"/>
  <c r="G1748" i="2"/>
  <c r="H1748" i="2"/>
  <c r="G1749" i="2"/>
  <c r="H1749" i="2"/>
  <c r="G1750" i="2"/>
  <c r="H1750" i="2"/>
  <c r="G1751" i="2"/>
  <c r="H1751" i="2"/>
  <c r="G1752" i="2"/>
  <c r="H1752" i="2"/>
  <c r="G1753" i="2"/>
  <c r="H1753" i="2"/>
  <c r="G1754" i="2"/>
  <c r="H1754" i="2"/>
  <c r="G1755" i="2"/>
  <c r="H1755" i="2"/>
  <c r="G1756" i="2"/>
  <c r="H1756" i="2"/>
  <c r="G1757" i="2"/>
  <c r="H1757" i="2"/>
  <c r="G1758" i="2"/>
  <c r="H1758" i="2"/>
  <c r="G1759" i="2"/>
  <c r="H1759" i="2"/>
  <c r="G1760" i="2"/>
  <c r="H1760" i="2"/>
  <c r="G1761" i="2"/>
  <c r="H1761" i="2"/>
  <c r="G1762" i="2"/>
  <c r="H1762" i="2"/>
  <c r="G1763" i="2"/>
  <c r="H1763" i="2"/>
  <c r="G1764" i="2"/>
  <c r="H1764" i="2"/>
  <c r="G1765" i="2"/>
  <c r="H1765" i="2"/>
  <c r="G1766" i="2"/>
  <c r="H1766" i="2"/>
  <c r="G1767" i="2"/>
  <c r="H1767" i="2"/>
  <c r="G1768" i="2"/>
  <c r="H1768" i="2"/>
  <c r="G1769" i="2"/>
  <c r="H1769" i="2"/>
  <c r="G1770" i="2"/>
  <c r="H1770" i="2"/>
  <c r="G1771" i="2"/>
  <c r="H1771" i="2"/>
  <c r="G1772" i="2"/>
  <c r="H1772" i="2"/>
  <c r="G1773" i="2"/>
  <c r="H1773" i="2"/>
  <c r="G1774" i="2"/>
  <c r="H1774" i="2"/>
  <c r="G1775" i="2"/>
  <c r="H1775" i="2"/>
  <c r="G1776" i="2"/>
  <c r="H1776" i="2"/>
  <c r="G1777" i="2"/>
  <c r="H1777" i="2"/>
  <c r="G1778" i="2"/>
  <c r="H1778" i="2"/>
  <c r="G1779" i="2"/>
  <c r="H1779" i="2"/>
  <c r="G1780" i="2"/>
  <c r="H1780" i="2"/>
  <c r="G1781" i="2"/>
  <c r="H1781" i="2"/>
  <c r="G1782" i="2"/>
  <c r="H1782" i="2"/>
  <c r="G1783" i="2"/>
  <c r="H1783" i="2"/>
  <c r="G1784" i="2"/>
  <c r="H1784" i="2"/>
  <c r="G1785" i="2"/>
  <c r="H1785" i="2"/>
  <c r="G1786" i="2"/>
  <c r="H1786" i="2"/>
  <c r="G1787" i="2"/>
  <c r="H1787" i="2"/>
  <c r="G1788" i="2"/>
  <c r="H1788" i="2"/>
  <c r="G1789" i="2"/>
  <c r="H1789" i="2"/>
  <c r="G1790" i="2"/>
  <c r="H1790" i="2"/>
  <c r="G1791" i="2"/>
  <c r="H1791" i="2"/>
  <c r="G1792" i="2"/>
  <c r="H1792" i="2"/>
  <c r="G1793" i="2"/>
  <c r="H1793" i="2"/>
  <c r="G1794" i="2"/>
  <c r="H1794" i="2"/>
  <c r="G1795" i="2"/>
  <c r="H1795" i="2"/>
  <c r="G1796" i="2"/>
  <c r="H1796" i="2"/>
  <c r="G1797" i="2"/>
  <c r="H1797" i="2"/>
  <c r="G1798" i="2"/>
  <c r="H1798" i="2"/>
  <c r="G1799" i="2"/>
  <c r="H1799" i="2"/>
  <c r="G1800" i="2"/>
  <c r="H1800" i="2"/>
  <c r="G1801" i="2"/>
  <c r="H1801" i="2"/>
  <c r="G1802" i="2"/>
  <c r="H1802" i="2"/>
  <c r="G1803" i="2"/>
  <c r="H1803" i="2"/>
  <c r="G1804" i="2"/>
  <c r="H1804" i="2"/>
  <c r="G1805" i="2"/>
  <c r="H1805" i="2"/>
  <c r="G1806" i="2"/>
  <c r="H1806" i="2"/>
  <c r="G1807" i="2"/>
  <c r="H1807" i="2"/>
  <c r="G1808" i="2"/>
  <c r="H1808" i="2"/>
  <c r="G1809" i="2"/>
  <c r="H1809" i="2"/>
  <c r="G1810" i="2"/>
  <c r="H1810" i="2"/>
  <c r="G1811" i="2"/>
  <c r="H1811" i="2"/>
  <c r="G1812" i="2"/>
  <c r="H1812" i="2"/>
  <c r="G1813" i="2"/>
  <c r="H1813" i="2"/>
  <c r="G1814" i="2"/>
  <c r="H1814" i="2"/>
  <c r="G1815" i="2"/>
  <c r="H1815" i="2"/>
  <c r="G1816" i="2"/>
  <c r="H1816" i="2"/>
  <c r="G1817" i="2"/>
  <c r="H1817" i="2"/>
  <c r="G1818" i="2"/>
  <c r="H1818" i="2"/>
  <c r="G1819" i="2"/>
  <c r="H1819" i="2"/>
  <c r="G1820" i="2"/>
  <c r="H1820" i="2"/>
  <c r="G1821" i="2"/>
  <c r="H1821" i="2"/>
  <c r="G1822" i="2"/>
  <c r="H1822" i="2"/>
  <c r="G1823" i="2"/>
  <c r="H1823" i="2"/>
  <c r="B3" i="2"/>
  <c r="C3" i="2"/>
  <c r="B4" i="2"/>
  <c r="C4" i="2"/>
  <c r="B5" i="2"/>
  <c r="C5" i="2"/>
  <c r="B6" i="2"/>
  <c r="C6" i="2"/>
  <c r="B7" i="2"/>
  <c r="C7" i="2"/>
  <c r="B8" i="2"/>
  <c r="C8" i="2"/>
  <c r="B9" i="2"/>
  <c r="C9" i="2"/>
  <c r="B10" i="2"/>
  <c r="C10" i="2"/>
  <c r="B11" i="2"/>
  <c r="C11" i="2"/>
  <c r="B12" i="2"/>
  <c r="C12" i="2"/>
  <c r="B13" i="2"/>
  <c r="C13" i="2"/>
  <c r="B14" i="2"/>
  <c r="C14" i="2"/>
  <c r="B15" i="2"/>
  <c r="C15" i="2"/>
  <c r="B16" i="2"/>
  <c r="C16" i="2"/>
  <c r="B17" i="2"/>
  <c r="C17" i="2"/>
  <c r="B18" i="2"/>
  <c r="C18" i="2"/>
  <c r="B19" i="2"/>
  <c r="C19" i="2"/>
  <c r="B20" i="2"/>
  <c r="C20" i="2"/>
  <c r="B21" i="2"/>
  <c r="C21" i="2"/>
  <c r="B22" i="2"/>
  <c r="C22" i="2"/>
  <c r="B23" i="2"/>
  <c r="C23" i="2"/>
  <c r="B24" i="2"/>
  <c r="C24" i="2"/>
  <c r="B25" i="2"/>
  <c r="C25" i="2"/>
  <c r="B26" i="2"/>
  <c r="C26" i="2"/>
  <c r="B27" i="2"/>
  <c r="C27" i="2"/>
  <c r="B28" i="2"/>
  <c r="C28" i="2"/>
  <c r="B29" i="2"/>
  <c r="C29" i="2"/>
  <c r="B30" i="2"/>
  <c r="C30" i="2"/>
  <c r="B31" i="2"/>
  <c r="C31" i="2"/>
  <c r="B32" i="2"/>
  <c r="C32" i="2"/>
  <c r="B33" i="2"/>
  <c r="C33" i="2"/>
  <c r="B34" i="2"/>
  <c r="C34" i="2"/>
  <c r="B35" i="2"/>
  <c r="C35" i="2"/>
  <c r="B36" i="2"/>
  <c r="C36" i="2"/>
  <c r="B37" i="2"/>
  <c r="C37" i="2"/>
  <c r="B38" i="2"/>
  <c r="C38" i="2"/>
  <c r="B39" i="2"/>
  <c r="C39" i="2"/>
  <c r="B40" i="2"/>
  <c r="C40" i="2"/>
  <c r="B41" i="2"/>
  <c r="C41" i="2"/>
  <c r="B42" i="2"/>
  <c r="C42" i="2"/>
  <c r="B43" i="2"/>
  <c r="C43" i="2"/>
  <c r="B44" i="2"/>
  <c r="C44" i="2"/>
  <c r="B45" i="2"/>
  <c r="C45" i="2"/>
  <c r="B46" i="2"/>
  <c r="C46" i="2"/>
  <c r="B47" i="2"/>
  <c r="C47" i="2"/>
  <c r="B48" i="2"/>
  <c r="C48" i="2"/>
  <c r="B49" i="2"/>
  <c r="C49" i="2"/>
  <c r="B50" i="2"/>
  <c r="C50" i="2"/>
  <c r="B51" i="2"/>
  <c r="C51" i="2"/>
  <c r="B52" i="2"/>
  <c r="C52" i="2"/>
  <c r="B53" i="2"/>
  <c r="C53" i="2"/>
  <c r="B54" i="2"/>
  <c r="C54" i="2"/>
  <c r="B55" i="2"/>
  <c r="C55" i="2"/>
  <c r="B56" i="2"/>
  <c r="C56" i="2"/>
  <c r="B57" i="2"/>
  <c r="C57" i="2"/>
  <c r="B58" i="2"/>
  <c r="C58" i="2"/>
  <c r="B59" i="2"/>
  <c r="C59" i="2"/>
  <c r="B60" i="2"/>
  <c r="C60" i="2"/>
  <c r="B61" i="2"/>
  <c r="C61" i="2"/>
  <c r="B62" i="2"/>
  <c r="C62" i="2"/>
  <c r="B63" i="2"/>
  <c r="C63" i="2"/>
  <c r="B64" i="2"/>
  <c r="C64" i="2"/>
  <c r="B65" i="2"/>
  <c r="C65" i="2"/>
  <c r="B66" i="2"/>
  <c r="C66" i="2"/>
  <c r="B67" i="2"/>
  <c r="C67" i="2"/>
  <c r="B68" i="2"/>
  <c r="C68" i="2"/>
  <c r="B69" i="2"/>
  <c r="C69" i="2"/>
  <c r="B70" i="2"/>
  <c r="C70" i="2"/>
  <c r="B71" i="2"/>
  <c r="C71" i="2"/>
  <c r="B72" i="2"/>
  <c r="C72" i="2"/>
  <c r="B73" i="2"/>
  <c r="C73" i="2"/>
  <c r="B74" i="2"/>
  <c r="C74" i="2"/>
  <c r="B75" i="2"/>
  <c r="C75" i="2"/>
  <c r="B76" i="2"/>
  <c r="C76" i="2"/>
  <c r="B77" i="2"/>
  <c r="C77" i="2"/>
  <c r="B78" i="2"/>
  <c r="C78" i="2"/>
  <c r="B79" i="2"/>
  <c r="C79" i="2"/>
  <c r="B80" i="2"/>
  <c r="C80" i="2"/>
  <c r="B81" i="2"/>
  <c r="C81" i="2"/>
  <c r="B82" i="2"/>
  <c r="C82" i="2"/>
  <c r="B83" i="2"/>
  <c r="C83" i="2"/>
  <c r="B84" i="2"/>
  <c r="C84" i="2"/>
  <c r="B85" i="2"/>
  <c r="C85" i="2"/>
  <c r="B86" i="2"/>
  <c r="C86" i="2"/>
  <c r="B87" i="2"/>
  <c r="C87" i="2"/>
  <c r="B88" i="2"/>
  <c r="C88" i="2"/>
  <c r="B89" i="2"/>
  <c r="C89" i="2"/>
  <c r="B90" i="2"/>
  <c r="C90" i="2"/>
  <c r="B91" i="2"/>
  <c r="C91" i="2"/>
  <c r="B92" i="2"/>
  <c r="C92" i="2"/>
  <c r="B93" i="2"/>
  <c r="C93" i="2"/>
  <c r="B94" i="2"/>
  <c r="C94" i="2"/>
  <c r="B95" i="2"/>
  <c r="C95" i="2"/>
  <c r="B96" i="2"/>
  <c r="C96" i="2"/>
  <c r="B97" i="2"/>
  <c r="C97" i="2"/>
  <c r="B98" i="2"/>
  <c r="C98" i="2"/>
  <c r="B99" i="2"/>
  <c r="C99" i="2"/>
  <c r="B100" i="2"/>
  <c r="C100" i="2"/>
  <c r="B101" i="2"/>
  <c r="C101" i="2"/>
  <c r="B102" i="2"/>
  <c r="C102" i="2"/>
  <c r="B103" i="2"/>
  <c r="C103" i="2"/>
  <c r="B104" i="2"/>
  <c r="C104" i="2"/>
  <c r="B105" i="2"/>
  <c r="C105" i="2"/>
  <c r="B106" i="2"/>
  <c r="C106" i="2"/>
  <c r="B107" i="2"/>
  <c r="C107" i="2"/>
  <c r="B108" i="2"/>
  <c r="C108" i="2"/>
  <c r="B109" i="2"/>
  <c r="C109" i="2"/>
  <c r="B110" i="2"/>
  <c r="C110" i="2"/>
  <c r="B111" i="2"/>
  <c r="C111" i="2"/>
  <c r="B112" i="2"/>
  <c r="C112" i="2"/>
  <c r="B113" i="2"/>
  <c r="C113" i="2"/>
  <c r="B114" i="2"/>
  <c r="C114" i="2"/>
  <c r="B115" i="2"/>
  <c r="C115" i="2"/>
  <c r="B116" i="2"/>
  <c r="C116" i="2"/>
  <c r="B117" i="2"/>
  <c r="C117" i="2"/>
  <c r="B118" i="2"/>
  <c r="C118" i="2"/>
  <c r="B119" i="2"/>
  <c r="C119" i="2"/>
  <c r="B120" i="2"/>
  <c r="C120" i="2"/>
  <c r="B121" i="2"/>
  <c r="C121" i="2"/>
  <c r="B122" i="2"/>
  <c r="C122" i="2"/>
  <c r="B123" i="2"/>
  <c r="C123" i="2"/>
  <c r="B124" i="2"/>
  <c r="C124" i="2"/>
  <c r="B125" i="2"/>
  <c r="C125" i="2"/>
  <c r="B126" i="2"/>
  <c r="C126" i="2"/>
  <c r="B127" i="2"/>
  <c r="C127" i="2"/>
  <c r="B128" i="2"/>
  <c r="C128" i="2"/>
  <c r="B129" i="2"/>
  <c r="C129" i="2"/>
  <c r="B130" i="2"/>
  <c r="C130" i="2"/>
  <c r="B131" i="2"/>
  <c r="C131" i="2"/>
  <c r="B132" i="2"/>
  <c r="C132" i="2"/>
  <c r="B133" i="2"/>
  <c r="C133" i="2"/>
  <c r="B134" i="2"/>
  <c r="C134" i="2"/>
  <c r="B135" i="2"/>
  <c r="C135" i="2"/>
  <c r="B136" i="2"/>
  <c r="C136" i="2"/>
  <c r="B137" i="2"/>
  <c r="C137" i="2"/>
  <c r="B138" i="2"/>
  <c r="C138" i="2"/>
  <c r="B139" i="2"/>
  <c r="C139" i="2"/>
  <c r="B140" i="2"/>
  <c r="C140" i="2"/>
  <c r="B141" i="2"/>
  <c r="C141" i="2"/>
  <c r="B142" i="2"/>
  <c r="C142" i="2"/>
  <c r="B143" i="2"/>
  <c r="C143" i="2"/>
  <c r="B144" i="2"/>
  <c r="C144" i="2"/>
  <c r="B145" i="2"/>
  <c r="C145" i="2"/>
  <c r="B146" i="2"/>
  <c r="C146" i="2"/>
  <c r="B147" i="2"/>
  <c r="C147" i="2"/>
  <c r="B148" i="2"/>
  <c r="C148" i="2"/>
  <c r="B149" i="2"/>
  <c r="C149" i="2"/>
  <c r="B150" i="2"/>
  <c r="C150" i="2"/>
  <c r="B151" i="2"/>
  <c r="C151" i="2"/>
  <c r="B152" i="2"/>
  <c r="C152" i="2"/>
  <c r="B153" i="2"/>
  <c r="C153" i="2"/>
  <c r="B154" i="2"/>
  <c r="C154" i="2"/>
  <c r="B155" i="2"/>
  <c r="C155" i="2"/>
  <c r="B156" i="2"/>
  <c r="C156" i="2"/>
  <c r="B157" i="2"/>
  <c r="C157" i="2"/>
  <c r="B158" i="2"/>
  <c r="C158" i="2"/>
  <c r="B159" i="2"/>
  <c r="C159" i="2"/>
  <c r="B160" i="2"/>
  <c r="C160" i="2"/>
  <c r="B161" i="2"/>
  <c r="C161" i="2"/>
  <c r="B162" i="2"/>
  <c r="C162" i="2"/>
  <c r="B163" i="2"/>
  <c r="C163" i="2"/>
  <c r="B164" i="2"/>
  <c r="C164" i="2"/>
  <c r="B165" i="2"/>
  <c r="C165" i="2"/>
  <c r="B166" i="2"/>
  <c r="C166" i="2"/>
  <c r="B167" i="2"/>
  <c r="C167" i="2"/>
  <c r="B168" i="2"/>
  <c r="C168" i="2"/>
  <c r="B169" i="2"/>
  <c r="C169" i="2"/>
  <c r="B170" i="2"/>
  <c r="C170" i="2"/>
  <c r="B171" i="2"/>
  <c r="C171" i="2"/>
  <c r="B172" i="2"/>
  <c r="C172" i="2"/>
  <c r="B173" i="2"/>
  <c r="C173" i="2"/>
  <c r="B174" i="2"/>
  <c r="C174" i="2"/>
  <c r="B175" i="2"/>
  <c r="C175" i="2"/>
  <c r="B176" i="2"/>
  <c r="C176" i="2"/>
  <c r="B177" i="2"/>
  <c r="C177" i="2"/>
  <c r="B178" i="2"/>
  <c r="C178" i="2"/>
  <c r="B179" i="2"/>
  <c r="C179" i="2"/>
  <c r="B180" i="2"/>
  <c r="C180" i="2"/>
  <c r="B181" i="2"/>
  <c r="C181" i="2"/>
  <c r="B182" i="2"/>
  <c r="C182" i="2"/>
  <c r="B183" i="2"/>
  <c r="C183" i="2"/>
  <c r="B184" i="2"/>
  <c r="C184" i="2"/>
  <c r="B185" i="2"/>
  <c r="C185" i="2"/>
  <c r="B186" i="2"/>
  <c r="C186" i="2"/>
  <c r="B187" i="2"/>
  <c r="C187" i="2"/>
  <c r="B188" i="2"/>
  <c r="C188" i="2"/>
  <c r="B189" i="2"/>
  <c r="C189" i="2"/>
  <c r="B190" i="2"/>
  <c r="C190" i="2"/>
  <c r="B191" i="2"/>
  <c r="C191" i="2"/>
  <c r="B192" i="2"/>
  <c r="C192" i="2"/>
  <c r="B193" i="2"/>
  <c r="C193" i="2"/>
  <c r="B194" i="2"/>
  <c r="C194" i="2"/>
  <c r="B195" i="2"/>
  <c r="C195" i="2"/>
  <c r="B196" i="2"/>
  <c r="C196" i="2"/>
  <c r="B197" i="2"/>
  <c r="C197" i="2"/>
  <c r="B198" i="2"/>
  <c r="C198" i="2"/>
  <c r="B199" i="2"/>
  <c r="C199" i="2"/>
  <c r="B200" i="2"/>
  <c r="C200" i="2"/>
  <c r="B201" i="2"/>
  <c r="C201" i="2"/>
  <c r="B202" i="2"/>
  <c r="C202" i="2"/>
  <c r="B203" i="2"/>
  <c r="C203" i="2"/>
  <c r="B204" i="2"/>
  <c r="C204" i="2"/>
  <c r="B205" i="2"/>
  <c r="C205" i="2"/>
  <c r="B206" i="2"/>
  <c r="C206" i="2"/>
  <c r="B207" i="2"/>
  <c r="C207" i="2"/>
  <c r="B208" i="2"/>
  <c r="C208" i="2"/>
  <c r="B209" i="2"/>
  <c r="C209" i="2"/>
  <c r="B210" i="2"/>
  <c r="C210" i="2"/>
  <c r="B211" i="2"/>
  <c r="C211" i="2"/>
  <c r="B212" i="2"/>
  <c r="C212" i="2"/>
  <c r="B213" i="2"/>
  <c r="C213" i="2"/>
  <c r="B214" i="2"/>
  <c r="C214" i="2"/>
  <c r="B215" i="2"/>
  <c r="C215" i="2"/>
  <c r="B216" i="2"/>
  <c r="C216" i="2"/>
  <c r="B217" i="2"/>
  <c r="C217" i="2"/>
  <c r="B218" i="2"/>
  <c r="C218" i="2"/>
  <c r="B219" i="2"/>
  <c r="C219" i="2"/>
  <c r="B220" i="2"/>
  <c r="C220" i="2"/>
  <c r="B221" i="2"/>
  <c r="C221" i="2"/>
  <c r="B222" i="2"/>
  <c r="C222" i="2"/>
  <c r="B223" i="2"/>
  <c r="C223" i="2"/>
  <c r="B224" i="2"/>
  <c r="C224" i="2"/>
  <c r="B225" i="2"/>
  <c r="C225" i="2"/>
  <c r="B226" i="2"/>
  <c r="C226" i="2"/>
  <c r="B227" i="2"/>
  <c r="C227" i="2"/>
  <c r="B228" i="2"/>
  <c r="C228" i="2"/>
  <c r="B229" i="2"/>
  <c r="C229" i="2"/>
  <c r="B230" i="2"/>
  <c r="C230" i="2"/>
  <c r="B231" i="2"/>
  <c r="C231" i="2"/>
  <c r="B232" i="2"/>
  <c r="C232" i="2"/>
  <c r="B233" i="2"/>
  <c r="C233" i="2"/>
  <c r="B234" i="2"/>
  <c r="C234" i="2"/>
  <c r="B235" i="2"/>
  <c r="C235" i="2"/>
  <c r="B236" i="2"/>
  <c r="C236" i="2"/>
  <c r="B237" i="2"/>
  <c r="C237" i="2"/>
  <c r="B238" i="2"/>
  <c r="C238" i="2"/>
  <c r="B239" i="2"/>
  <c r="C239" i="2"/>
  <c r="B240" i="2"/>
  <c r="C240" i="2"/>
  <c r="B241" i="2"/>
  <c r="C241" i="2"/>
  <c r="B242" i="2"/>
  <c r="C242" i="2"/>
  <c r="B243" i="2"/>
  <c r="C243" i="2"/>
  <c r="B244" i="2"/>
  <c r="C244" i="2"/>
  <c r="B245" i="2"/>
  <c r="C245" i="2"/>
  <c r="B246" i="2"/>
  <c r="C246" i="2"/>
  <c r="B247" i="2"/>
  <c r="C247" i="2"/>
  <c r="B248" i="2"/>
  <c r="C248" i="2"/>
  <c r="B249" i="2"/>
  <c r="C249" i="2"/>
  <c r="B250" i="2"/>
  <c r="C250" i="2"/>
  <c r="B251" i="2"/>
  <c r="C251" i="2"/>
  <c r="B252" i="2"/>
  <c r="C252" i="2"/>
  <c r="B253" i="2"/>
  <c r="C253" i="2"/>
  <c r="B254" i="2"/>
  <c r="C254" i="2"/>
  <c r="B255" i="2"/>
  <c r="C255" i="2"/>
  <c r="B256" i="2"/>
  <c r="C256" i="2"/>
  <c r="B257" i="2"/>
  <c r="C257" i="2"/>
  <c r="B258" i="2"/>
  <c r="C258" i="2"/>
  <c r="B259" i="2"/>
  <c r="C259" i="2"/>
  <c r="B260" i="2"/>
  <c r="C260" i="2"/>
  <c r="B261" i="2"/>
  <c r="C261" i="2"/>
  <c r="B262" i="2"/>
  <c r="C262" i="2"/>
  <c r="B263" i="2"/>
  <c r="C263" i="2"/>
  <c r="B264" i="2"/>
  <c r="C264" i="2"/>
  <c r="B265" i="2"/>
  <c r="C265" i="2"/>
  <c r="B266" i="2"/>
  <c r="C266" i="2"/>
  <c r="B267" i="2"/>
  <c r="C267" i="2"/>
  <c r="B268" i="2"/>
  <c r="C268" i="2"/>
  <c r="B269" i="2"/>
  <c r="C269" i="2"/>
  <c r="B270" i="2"/>
  <c r="C270" i="2"/>
  <c r="B271" i="2"/>
  <c r="C271" i="2"/>
  <c r="B272" i="2"/>
  <c r="C272" i="2"/>
  <c r="B273" i="2"/>
  <c r="C273" i="2"/>
  <c r="B274" i="2"/>
  <c r="C274" i="2"/>
  <c r="B275" i="2"/>
  <c r="C275" i="2"/>
  <c r="B276" i="2"/>
  <c r="C276" i="2"/>
  <c r="B277" i="2"/>
  <c r="C277" i="2"/>
  <c r="B278" i="2"/>
  <c r="C278" i="2"/>
  <c r="B279" i="2"/>
  <c r="C279" i="2"/>
  <c r="B280" i="2"/>
  <c r="C280" i="2"/>
  <c r="B281" i="2"/>
  <c r="C281" i="2"/>
  <c r="B282" i="2"/>
  <c r="C282" i="2"/>
  <c r="B283" i="2"/>
  <c r="C283" i="2"/>
  <c r="B284" i="2"/>
  <c r="C284" i="2"/>
  <c r="B285" i="2"/>
  <c r="C285" i="2"/>
  <c r="B286" i="2"/>
  <c r="C286" i="2"/>
  <c r="B287" i="2"/>
  <c r="C287" i="2"/>
  <c r="B288" i="2"/>
  <c r="C288" i="2"/>
  <c r="B289" i="2"/>
  <c r="C289" i="2"/>
  <c r="B290" i="2"/>
  <c r="C290" i="2"/>
  <c r="B291" i="2"/>
  <c r="C291" i="2"/>
  <c r="B292" i="2"/>
  <c r="C292" i="2"/>
  <c r="B293" i="2"/>
  <c r="C293" i="2"/>
  <c r="B294" i="2"/>
  <c r="C294" i="2"/>
  <c r="B295" i="2"/>
  <c r="C295" i="2"/>
  <c r="B296" i="2"/>
  <c r="C296" i="2"/>
  <c r="B297" i="2"/>
  <c r="C297" i="2"/>
  <c r="B298" i="2"/>
  <c r="C298" i="2"/>
  <c r="B299" i="2"/>
  <c r="C299" i="2"/>
  <c r="B300" i="2"/>
  <c r="C300" i="2"/>
  <c r="B301" i="2"/>
  <c r="C301" i="2"/>
  <c r="B302" i="2"/>
  <c r="C302" i="2"/>
  <c r="B303" i="2"/>
  <c r="C303" i="2"/>
  <c r="B304" i="2"/>
  <c r="C304" i="2"/>
  <c r="B305" i="2"/>
  <c r="C305" i="2"/>
  <c r="B306" i="2"/>
  <c r="C306" i="2"/>
  <c r="B307" i="2"/>
  <c r="C307" i="2"/>
  <c r="B308" i="2"/>
  <c r="C308" i="2"/>
  <c r="B309" i="2"/>
  <c r="C309" i="2"/>
  <c r="B310" i="2"/>
  <c r="C310" i="2"/>
  <c r="B311" i="2"/>
  <c r="C311" i="2"/>
  <c r="B312" i="2"/>
  <c r="C312" i="2"/>
  <c r="B313" i="2"/>
  <c r="C313" i="2"/>
  <c r="B314" i="2"/>
  <c r="C314" i="2"/>
  <c r="B315" i="2"/>
  <c r="C315" i="2"/>
  <c r="B316" i="2"/>
  <c r="C316" i="2"/>
  <c r="B317" i="2"/>
  <c r="C317" i="2"/>
  <c r="B318" i="2"/>
  <c r="C318" i="2"/>
  <c r="B319" i="2"/>
  <c r="C319" i="2"/>
  <c r="B320" i="2"/>
  <c r="C320" i="2"/>
  <c r="B321" i="2"/>
  <c r="C321" i="2"/>
  <c r="B322" i="2"/>
  <c r="C322" i="2"/>
  <c r="B323" i="2"/>
  <c r="C323" i="2"/>
  <c r="B324" i="2"/>
  <c r="C324" i="2"/>
  <c r="B325" i="2"/>
  <c r="C325" i="2"/>
  <c r="B326" i="2"/>
  <c r="C326" i="2"/>
  <c r="B327" i="2"/>
  <c r="C327" i="2"/>
  <c r="B328" i="2"/>
  <c r="C328" i="2"/>
  <c r="B329" i="2"/>
  <c r="C329" i="2"/>
  <c r="B330" i="2"/>
  <c r="C330" i="2"/>
  <c r="B331" i="2"/>
  <c r="C331" i="2"/>
  <c r="B332" i="2"/>
  <c r="C332" i="2"/>
  <c r="B333" i="2"/>
  <c r="C333" i="2"/>
  <c r="B334" i="2"/>
  <c r="C334" i="2"/>
  <c r="B335" i="2"/>
  <c r="C335" i="2"/>
  <c r="B336" i="2"/>
  <c r="C336" i="2"/>
  <c r="B337" i="2"/>
  <c r="C337" i="2"/>
  <c r="B338" i="2"/>
  <c r="C338" i="2"/>
  <c r="B339" i="2"/>
  <c r="C339" i="2"/>
  <c r="B340" i="2"/>
  <c r="C340" i="2"/>
  <c r="B341" i="2"/>
  <c r="C341" i="2"/>
  <c r="B342" i="2"/>
  <c r="C342" i="2"/>
  <c r="B343" i="2"/>
  <c r="C343" i="2"/>
  <c r="B344" i="2"/>
  <c r="C344" i="2"/>
  <c r="B345" i="2"/>
  <c r="C345" i="2"/>
  <c r="B346" i="2"/>
  <c r="C346" i="2"/>
  <c r="B347" i="2"/>
  <c r="C347" i="2"/>
  <c r="B348" i="2"/>
  <c r="C348" i="2"/>
  <c r="B349" i="2"/>
  <c r="C349" i="2"/>
  <c r="B350" i="2"/>
  <c r="C350" i="2"/>
  <c r="B351" i="2"/>
  <c r="C351" i="2"/>
  <c r="B352" i="2"/>
  <c r="C352" i="2"/>
  <c r="B353" i="2"/>
  <c r="C353" i="2"/>
  <c r="B354" i="2"/>
  <c r="C354" i="2"/>
  <c r="B355" i="2"/>
  <c r="C355" i="2"/>
  <c r="B356" i="2"/>
  <c r="C356" i="2"/>
  <c r="B357" i="2"/>
  <c r="C357" i="2"/>
  <c r="B358" i="2"/>
  <c r="C358" i="2"/>
  <c r="B359" i="2"/>
  <c r="C359" i="2"/>
  <c r="B360" i="2"/>
  <c r="C360" i="2"/>
  <c r="B361" i="2"/>
  <c r="C361" i="2"/>
  <c r="B362" i="2"/>
  <c r="C362" i="2"/>
  <c r="B363" i="2"/>
  <c r="C363" i="2"/>
  <c r="B364" i="2"/>
  <c r="C364" i="2"/>
  <c r="B365" i="2"/>
  <c r="C365" i="2"/>
  <c r="B366" i="2"/>
  <c r="C366" i="2"/>
  <c r="B367" i="2"/>
  <c r="C367" i="2"/>
  <c r="B368" i="2"/>
  <c r="C368" i="2"/>
  <c r="B369" i="2"/>
  <c r="C369" i="2"/>
  <c r="B370" i="2"/>
  <c r="C370" i="2"/>
  <c r="B371" i="2"/>
  <c r="C371" i="2"/>
  <c r="B372" i="2"/>
  <c r="C372" i="2"/>
  <c r="B373" i="2"/>
  <c r="C373" i="2"/>
  <c r="B374" i="2"/>
  <c r="C374" i="2"/>
  <c r="B375" i="2"/>
  <c r="C375" i="2"/>
  <c r="B376" i="2"/>
  <c r="C376" i="2"/>
  <c r="B377" i="2"/>
  <c r="C377" i="2"/>
  <c r="B378" i="2"/>
  <c r="C378" i="2"/>
  <c r="B379" i="2"/>
  <c r="C379" i="2"/>
  <c r="B380" i="2"/>
  <c r="C380" i="2"/>
  <c r="B381" i="2"/>
  <c r="C381" i="2"/>
  <c r="B382" i="2"/>
  <c r="C382" i="2"/>
  <c r="B383" i="2"/>
  <c r="C383" i="2"/>
  <c r="B384" i="2"/>
  <c r="C384" i="2"/>
  <c r="B385" i="2"/>
  <c r="C385" i="2"/>
  <c r="B386" i="2"/>
  <c r="C386" i="2"/>
  <c r="B387" i="2"/>
  <c r="C387" i="2"/>
  <c r="B388" i="2"/>
  <c r="C388" i="2"/>
  <c r="B389" i="2"/>
  <c r="C389" i="2"/>
  <c r="B390" i="2"/>
  <c r="C390" i="2"/>
  <c r="B391" i="2"/>
  <c r="C391" i="2"/>
  <c r="B392" i="2"/>
  <c r="C392" i="2"/>
  <c r="B393" i="2"/>
  <c r="C393" i="2"/>
  <c r="B394" i="2"/>
  <c r="C394" i="2"/>
  <c r="B395" i="2"/>
  <c r="C395" i="2"/>
  <c r="B396" i="2"/>
  <c r="C396" i="2"/>
  <c r="B397" i="2"/>
  <c r="C397" i="2"/>
  <c r="B398" i="2"/>
  <c r="C398" i="2"/>
  <c r="B399" i="2"/>
  <c r="C399" i="2"/>
  <c r="B400" i="2"/>
  <c r="C400" i="2"/>
  <c r="B401" i="2"/>
  <c r="C401" i="2"/>
  <c r="B402" i="2"/>
  <c r="C402" i="2"/>
  <c r="B403" i="2"/>
  <c r="C403" i="2"/>
  <c r="B404" i="2"/>
  <c r="C404" i="2"/>
  <c r="B405" i="2"/>
  <c r="C405" i="2"/>
  <c r="B406" i="2"/>
  <c r="C406" i="2"/>
  <c r="B407" i="2"/>
  <c r="C407" i="2"/>
  <c r="B408" i="2"/>
  <c r="C408" i="2"/>
  <c r="B409" i="2"/>
  <c r="C409" i="2"/>
  <c r="B410" i="2"/>
  <c r="C410" i="2"/>
  <c r="B411" i="2"/>
  <c r="C411" i="2"/>
  <c r="B412" i="2"/>
  <c r="C412" i="2"/>
  <c r="B413" i="2"/>
  <c r="C413" i="2"/>
  <c r="B414" i="2"/>
  <c r="C414" i="2"/>
  <c r="B415" i="2"/>
  <c r="C415" i="2"/>
  <c r="B416" i="2"/>
  <c r="C416" i="2"/>
  <c r="B417" i="2"/>
  <c r="C417" i="2"/>
  <c r="B418" i="2"/>
  <c r="C418" i="2"/>
  <c r="B419" i="2"/>
  <c r="C419" i="2"/>
  <c r="B420" i="2"/>
  <c r="C420" i="2"/>
  <c r="B421" i="2"/>
  <c r="C421" i="2"/>
  <c r="B422" i="2"/>
  <c r="C422" i="2"/>
  <c r="B423" i="2"/>
  <c r="C423" i="2"/>
  <c r="B424" i="2"/>
  <c r="C424" i="2"/>
  <c r="B425" i="2"/>
  <c r="C425" i="2"/>
  <c r="B426" i="2"/>
  <c r="C426" i="2"/>
  <c r="B427" i="2"/>
  <c r="C427" i="2"/>
  <c r="B428" i="2"/>
  <c r="C428" i="2"/>
  <c r="B429" i="2"/>
  <c r="C429" i="2"/>
  <c r="B430" i="2"/>
  <c r="C430" i="2"/>
  <c r="B431" i="2"/>
  <c r="C431" i="2"/>
  <c r="B432" i="2"/>
  <c r="C432" i="2"/>
  <c r="B433" i="2"/>
  <c r="C433" i="2"/>
  <c r="B434" i="2"/>
  <c r="C434" i="2"/>
  <c r="B435" i="2"/>
  <c r="C435" i="2"/>
  <c r="B436" i="2"/>
  <c r="C436" i="2"/>
  <c r="B437" i="2"/>
  <c r="C437" i="2"/>
  <c r="B438" i="2"/>
  <c r="C438" i="2"/>
  <c r="B439" i="2"/>
  <c r="C439" i="2"/>
  <c r="B440" i="2"/>
  <c r="C440" i="2"/>
  <c r="B441" i="2"/>
  <c r="C441" i="2"/>
  <c r="B442" i="2"/>
  <c r="C442" i="2"/>
  <c r="B443" i="2"/>
  <c r="C443" i="2"/>
  <c r="B444" i="2"/>
  <c r="C444" i="2"/>
  <c r="B445" i="2"/>
  <c r="C445" i="2"/>
  <c r="B446" i="2"/>
  <c r="C446" i="2"/>
  <c r="B447" i="2"/>
  <c r="C447" i="2"/>
  <c r="B448" i="2"/>
  <c r="C448" i="2"/>
  <c r="B449" i="2"/>
  <c r="C449" i="2"/>
  <c r="B450" i="2"/>
  <c r="C450" i="2"/>
  <c r="B451" i="2"/>
  <c r="C451" i="2"/>
  <c r="B452" i="2"/>
  <c r="C452" i="2"/>
  <c r="B453" i="2"/>
  <c r="C453" i="2"/>
  <c r="B454" i="2"/>
  <c r="C454" i="2"/>
  <c r="B455" i="2"/>
  <c r="C455" i="2"/>
  <c r="B456" i="2"/>
  <c r="C456" i="2"/>
  <c r="B457" i="2"/>
  <c r="C457" i="2"/>
  <c r="B458" i="2"/>
  <c r="C458" i="2"/>
  <c r="B459" i="2"/>
  <c r="C459" i="2"/>
  <c r="B460" i="2"/>
  <c r="C460" i="2"/>
  <c r="B461" i="2"/>
  <c r="C461" i="2"/>
  <c r="B462" i="2"/>
  <c r="C462" i="2"/>
  <c r="B463" i="2"/>
  <c r="C463" i="2"/>
  <c r="B464" i="2"/>
  <c r="C464" i="2"/>
  <c r="B465" i="2"/>
  <c r="C465" i="2"/>
  <c r="B466" i="2"/>
  <c r="C466" i="2"/>
  <c r="B467" i="2"/>
  <c r="C467" i="2"/>
  <c r="B468" i="2"/>
  <c r="C468" i="2"/>
  <c r="B469" i="2"/>
  <c r="C469" i="2"/>
  <c r="B470" i="2"/>
  <c r="C470" i="2"/>
  <c r="B471" i="2"/>
  <c r="C471" i="2"/>
  <c r="B472" i="2"/>
  <c r="C472" i="2"/>
  <c r="B473" i="2"/>
  <c r="C473" i="2"/>
  <c r="B474" i="2"/>
  <c r="C474" i="2"/>
  <c r="B475" i="2"/>
  <c r="C475" i="2"/>
  <c r="B476" i="2"/>
  <c r="C476" i="2"/>
  <c r="B477" i="2"/>
  <c r="C477" i="2"/>
  <c r="B478" i="2"/>
  <c r="C478" i="2"/>
  <c r="B479" i="2"/>
  <c r="C479" i="2"/>
  <c r="B480" i="2"/>
  <c r="C480" i="2"/>
  <c r="B481" i="2"/>
  <c r="C481" i="2"/>
  <c r="B482" i="2"/>
  <c r="C482" i="2"/>
  <c r="B483" i="2"/>
  <c r="C483" i="2"/>
  <c r="B484" i="2"/>
  <c r="C484" i="2"/>
  <c r="B485" i="2"/>
  <c r="C485" i="2"/>
  <c r="B486" i="2"/>
  <c r="C486" i="2"/>
  <c r="B487" i="2"/>
  <c r="C487" i="2"/>
  <c r="B488" i="2"/>
  <c r="C488" i="2"/>
  <c r="B489" i="2"/>
  <c r="C489" i="2"/>
  <c r="B490" i="2"/>
  <c r="C490" i="2"/>
  <c r="B491" i="2"/>
  <c r="C491" i="2"/>
  <c r="B492" i="2"/>
  <c r="C492" i="2"/>
  <c r="B493" i="2"/>
  <c r="C493" i="2"/>
  <c r="B494" i="2"/>
  <c r="C494" i="2"/>
  <c r="B495" i="2"/>
  <c r="C495" i="2"/>
  <c r="B496" i="2"/>
  <c r="C496" i="2"/>
  <c r="B497" i="2"/>
  <c r="C497" i="2"/>
  <c r="B498" i="2"/>
  <c r="C498" i="2"/>
  <c r="B499" i="2"/>
  <c r="C499" i="2"/>
  <c r="B500" i="2"/>
  <c r="C500" i="2"/>
  <c r="B501" i="2"/>
  <c r="C501" i="2"/>
  <c r="B502" i="2"/>
  <c r="C502" i="2"/>
  <c r="B503" i="2"/>
  <c r="C503" i="2"/>
  <c r="B504" i="2"/>
  <c r="C504" i="2"/>
  <c r="B505" i="2"/>
  <c r="C505" i="2"/>
  <c r="B506" i="2"/>
  <c r="C506" i="2"/>
  <c r="B507" i="2"/>
  <c r="C507" i="2"/>
  <c r="B508" i="2"/>
  <c r="C508" i="2"/>
  <c r="B509" i="2"/>
  <c r="C509" i="2"/>
  <c r="B510" i="2"/>
  <c r="C510" i="2"/>
  <c r="B511" i="2"/>
  <c r="C511" i="2"/>
  <c r="B512" i="2"/>
  <c r="C512" i="2"/>
  <c r="B513" i="2"/>
  <c r="C513" i="2"/>
  <c r="B514" i="2"/>
  <c r="C514" i="2"/>
  <c r="B515" i="2"/>
  <c r="C515" i="2"/>
  <c r="B516" i="2"/>
  <c r="C516" i="2"/>
  <c r="B517" i="2"/>
  <c r="C517" i="2"/>
  <c r="B518" i="2"/>
  <c r="C518" i="2"/>
  <c r="B519" i="2"/>
  <c r="C519" i="2"/>
  <c r="B520" i="2"/>
  <c r="C520" i="2"/>
  <c r="B521" i="2"/>
  <c r="C521" i="2"/>
  <c r="B522" i="2"/>
  <c r="C522" i="2"/>
  <c r="B523" i="2"/>
  <c r="C523" i="2"/>
  <c r="B524" i="2"/>
  <c r="C524" i="2"/>
  <c r="B525" i="2"/>
  <c r="C525" i="2"/>
  <c r="B526" i="2"/>
  <c r="C526" i="2"/>
  <c r="B527" i="2"/>
  <c r="C527" i="2"/>
  <c r="B528" i="2"/>
  <c r="C528" i="2"/>
  <c r="B529" i="2"/>
  <c r="C529" i="2"/>
  <c r="B530" i="2"/>
  <c r="C530" i="2"/>
  <c r="B531" i="2"/>
  <c r="C531" i="2"/>
  <c r="B532" i="2"/>
  <c r="C532" i="2"/>
  <c r="B533" i="2"/>
  <c r="C533" i="2"/>
  <c r="B534" i="2"/>
  <c r="C534" i="2"/>
  <c r="B535" i="2"/>
  <c r="C535" i="2"/>
  <c r="B536" i="2"/>
  <c r="C536" i="2"/>
  <c r="B537" i="2"/>
  <c r="C537" i="2"/>
  <c r="B538" i="2"/>
  <c r="C538" i="2"/>
  <c r="B539" i="2"/>
  <c r="C539" i="2"/>
  <c r="B540" i="2"/>
  <c r="C540" i="2"/>
  <c r="B541" i="2"/>
  <c r="C541" i="2"/>
  <c r="B542" i="2"/>
  <c r="C542" i="2"/>
  <c r="B543" i="2"/>
  <c r="C543" i="2"/>
  <c r="B544" i="2"/>
  <c r="C544" i="2"/>
  <c r="B545" i="2"/>
  <c r="C545" i="2"/>
  <c r="B546" i="2"/>
  <c r="C546" i="2"/>
  <c r="B547" i="2"/>
  <c r="C547" i="2"/>
  <c r="B548" i="2"/>
  <c r="C548" i="2"/>
  <c r="B549" i="2"/>
  <c r="C549" i="2"/>
  <c r="B550" i="2"/>
  <c r="C550" i="2"/>
  <c r="B551" i="2"/>
  <c r="C551" i="2"/>
  <c r="B552" i="2"/>
  <c r="C552" i="2"/>
  <c r="B553" i="2"/>
  <c r="C553" i="2"/>
  <c r="B554" i="2"/>
  <c r="C554" i="2"/>
  <c r="B555" i="2"/>
  <c r="C555" i="2"/>
  <c r="B556" i="2"/>
  <c r="C556" i="2"/>
  <c r="B557" i="2"/>
  <c r="C557" i="2"/>
  <c r="B558" i="2"/>
  <c r="C558" i="2"/>
  <c r="B559" i="2"/>
  <c r="C559" i="2"/>
  <c r="B560" i="2"/>
  <c r="C560" i="2"/>
  <c r="B561" i="2"/>
  <c r="C561" i="2"/>
  <c r="B562" i="2"/>
  <c r="C562" i="2"/>
  <c r="B563" i="2"/>
  <c r="C563" i="2"/>
  <c r="B564" i="2"/>
  <c r="C564" i="2"/>
  <c r="B565" i="2"/>
  <c r="C565" i="2"/>
  <c r="B566" i="2"/>
  <c r="C566" i="2"/>
  <c r="B567" i="2"/>
  <c r="C567" i="2"/>
  <c r="B568" i="2"/>
  <c r="C568" i="2"/>
  <c r="B569" i="2"/>
  <c r="C569" i="2"/>
  <c r="B570" i="2"/>
  <c r="C570" i="2"/>
  <c r="B571" i="2"/>
  <c r="C571" i="2"/>
  <c r="B572" i="2"/>
  <c r="C572" i="2"/>
  <c r="B573" i="2"/>
  <c r="C573" i="2"/>
  <c r="B574" i="2"/>
  <c r="C574" i="2"/>
  <c r="B575" i="2"/>
  <c r="C575" i="2"/>
  <c r="B576" i="2"/>
  <c r="C576" i="2"/>
  <c r="B577" i="2"/>
  <c r="C577" i="2"/>
  <c r="B578" i="2"/>
  <c r="C578" i="2"/>
  <c r="B579" i="2"/>
  <c r="C579" i="2"/>
  <c r="B580" i="2"/>
  <c r="C580" i="2"/>
  <c r="B581" i="2"/>
  <c r="C581" i="2"/>
  <c r="B582" i="2"/>
  <c r="C582" i="2"/>
  <c r="B583" i="2"/>
  <c r="C583" i="2"/>
  <c r="B584" i="2"/>
  <c r="C584" i="2"/>
  <c r="B585" i="2"/>
  <c r="C585" i="2"/>
  <c r="B586" i="2"/>
  <c r="C586" i="2"/>
  <c r="B587" i="2"/>
  <c r="C587" i="2"/>
  <c r="B588" i="2"/>
  <c r="C588" i="2"/>
  <c r="B589" i="2"/>
  <c r="C589" i="2"/>
  <c r="B590" i="2"/>
  <c r="C590" i="2"/>
  <c r="B591" i="2"/>
  <c r="C591" i="2"/>
  <c r="B592" i="2"/>
  <c r="C592" i="2"/>
  <c r="B593" i="2"/>
  <c r="C593" i="2"/>
  <c r="B594" i="2"/>
  <c r="C594" i="2"/>
  <c r="B595" i="2"/>
  <c r="C595" i="2"/>
  <c r="B596" i="2"/>
  <c r="C596" i="2"/>
  <c r="B597" i="2"/>
  <c r="C597" i="2"/>
  <c r="B598" i="2"/>
  <c r="C598" i="2"/>
  <c r="B599" i="2"/>
  <c r="C599" i="2"/>
  <c r="B600" i="2"/>
  <c r="C600" i="2"/>
  <c r="B601" i="2"/>
  <c r="C601" i="2"/>
  <c r="B602" i="2"/>
  <c r="C602" i="2"/>
  <c r="B603" i="2"/>
  <c r="C603" i="2"/>
  <c r="B604" i="2"/>
  <c r="C604" i="2"/>
  <c r="B605" i="2"/>
  <c r="C605" i="2"/>
  <c r="B606" i="2"/>
  <c r="C606" i="2"/>
  <c r="B607" i="2"/>
  <c r="C607" i="2"/>
  <c r="B608" i="2"/>
  <c r="C608" i="2"/>
  <c r="B609" i="2"/>
  <c r="C609" i="2"/>
  <c r="B610" i="2"/>
  <c r="C610" i="2"/>
  <c r="B611" i="2"/>
  <c r="C611" i="2"/>
  <c r="B612" i="2"/>
  <c r="C612" i="2"/>
  <c r="B613" i="2"/>
  <c r="C613" i="2"/>
  <c r="B614" i="2"/>
  <c r="C614" i="2"/>
  <c r="B615" i="2"/>
  <c r="C615" i="2"/>
  <c r="B616" i="2"/>
  <c r="C616" i="2"/>
  <c r="B617" i="2"/>
  <c r="C617" i="2"/>
  <c r="B618" i="2"/>
  <c r="C618" i="2"/>
  <c r="B619" i="2"/>
  <c r="C619" i="2"/>
  <c r="B620" i="2"/>
  <c r="C620" i="2"/>
  <c r="B621" i="2"/>
  <c r="C621" i="2"/>
  <c r="B622" i="2"/>
  <c r="C622" i="2"/>
  <c r="B623" i="2"/>
  <c r="C623" i="2"/>
  <c r="B624" i="2"/>
  <c r="C624" i="2"/>
  <c r="B625" i="2"/>
  <c r="C625" i="2"/>
  <c r="B626" i="2"/>
  <c r="C626" i="2"/>
  <c r="B627" i="2"/>
  <c r="C627" i="2"/>
  <c r="B628" i="2"/>
  <c r="C628" i="2"/>
  <c r="B629" i="2"/>
  <c r="C629" i="2"/>
  <c r="B630" i="2"/>
  <c r="C630" i="2"/>
  <c r="B631" i="2"/>
  <c r="C631" i="2"/>
  <c r="B632" i="2"/>
  <c r="C632" i="2"/>
  <c r="B633" i="2"/>
  <c r="C633" i="2"/>
  <c r="B634" i="2"/>
  <c r="C634" i="2"/>
  <c r="B635" i="2"/>
  <c r="C635" i="2"/>
  <c r="B636" i="2"/>
  <c r="C636" i="2"/>
  <c r="B637" i="2"/>
  <c r="C637" i="2"/>
  <c r="B638" i="2"/>
  <c r="C638" i="2"/>
  <c r="B639" i="2"/>
  <c r="C639" i="2"/>
  <c r="B640" i="2"/>
  <c r="C640" i="2"/>
  <c r="B641" i="2"/>
  <c r="C641" i="2"/>
  <c r="B642" i="2"/>
  <c r="C642" i="2"/>
  <c r="B643" i="2"/>
  <c r="C643" i="2"/>
  <c r="B644" i="2"/>
  <c r="C644" i="2"/>
  <c r="B645" i="2"/>
  <c r="C645" i="2"/>
  <c r="B646" i="2"/>
  <c r="C646" i="2"/>
  <c r="B647" i="2"/>
  <c r="C647" i="2"/>
  <c r="B648" i="2"/>
  <c r="C648" i="2"/>
  <c r="B649" i="2"/>
  <c r="C649" i="2"/>
  <c r="B650" i="2"/>
  <c r="C650" i="2"/>
  <c r="B651" i="2"/>
  <c r="C651" i="2"/>
  <c r="B652" i="2"/>
  <c r="C652" i="2"/>
  <c r="B653" i="2"/>
  <c r="C653" i="2"/>
  <c r="B654" i="2"/>
  <c r="C654" i="2"/>
  <c r="B655" i="2"/>
  <c r="C655" i="2"/>
  <c r="B656" i="2"/>
  <c r="C656" i="2"/>
  <c r="B657" i="2"/>
  <c r="C657" i="2"/>
  <c r="B658" i="2"/>
  <c r="C658" i="2"/>
  <c r="B659" i="2"/>
  <c r="C659" i="2"/>
  <c r="B660" i="2"/>
  <c r="C660" i="2"/>
  <c r="B661" i="2"/>
  <c r="C661" i="2"/>
  <c r="B662" i="2"/>
  <c r="C662" i="2"/>
  <c r="B663" i="2"/>
  <c r="C663" i="2"/>
  <c r="B664" i="2"/>
  <c r="C664" i="2"/>
  <c r="B665" i="2"/>
  <c r="C665" i="2"/>
  <c r="B666" i="2"/>
  <c r="C666" i="2"/>
  <c r="B667" i="2"/>
  <c r="C667" i="2"/>
  <c r="B668" i="2"/>
  <c r="C668" i="2"/>
  <c r="B669" i="2"/>
  <c r="C669" i="2"/>
  <c r="B670" i="2"/>
  <c r="C670" i="2"/>
  <c r="B671" i="2"/>
  <c r="C671" i="2"/>
  <c r="B672" i="2"/>
  <c r="C672" i="2"/>
  <c r="B673" i="2"/>
  <c r="C673" i="2"/>
  <c r="B674" i="2"/>
  <c r="C674" i="2"/>
  <c r="B675" i="2"/>
  <c r="C675" i="2"/>
  <c r="B676" i="2"/>
  <c r="C676" i="2"/>
  <c r="B677" i="2"/>
  <c r="C677" i="2"/>
  <c r="B678" i="2"/>
  <c r="C678" i="2"/>
  <c r="B679" i="2"/>
  <c r="C679" i="2"/>
  <c r="B680" i="2"/>
  <c r="C680" i="2"/>
  <c r="B681" i="2"/>
  <c r="C681" i="2"/>
  <c r="B682" i="2"/>
  <c r="C682" i="2"/>
  <c r="B683" i="2"/>
  <c r="C683" i="2"/>
  <c r="B684" i="2"/>
  <c r="C684" i="2"/>
  <c r="B685" i="2"/>
  <c r="C685" i="2"/>
  <c r="B686" i="2"/>
  <c r="C686" i="2"/>
  <c r="B687" i="2"/>
  <c r="C687" i="2"/>
  <c r="B688" i="2"/>
  <c r="C688" i="2"/>
  <c r="B689" i="2"/>
  <c r="C689" i="2"/>
  <c r="B690" i="2"/>
  <c r="C690" i="2"/>
  <c r="B691" i="2"/>
  <c r="C691" i="2"/>
  <c r="B692" i="2"/>
  <c r="C692" i="2"/>
  <c r="B693" i="2"/>
  <c r="C693" i="2"/>
  <c r="B694" i="2"/>
  <c r="C694" i="2"/>
  <c r="B695" i="2"/>
  <c r="C695" i="2"/>
  <c r="B696" i="2"/>
  <c r="C696" i="2"/>
  <c r="B697" i="2"/>
  <c r="C697" i="2"/>
  <c r="B698" i="2"/>
  <c r="C698" i="2"/>
  <c r="B699" i="2"/>
  <c r="C699" i="2"/>
  <c r="B700" i="2"/>
  <c r="C700" i="2"/>
  <c r="B701" i="2"/>
  <c r="C701" i="2"/>
  <c r="B702" i="2"/>
  <c r="C702" i="2"/>
  <c r="B703" i="2"/>
  <c r="C703" i="2"/>
  <c r="B704" i="2"/>
  <c r="C704" i="2"/>
  <c r="B705" i="2"/>
  <c r="C705" i="2"/>
  <c r="B706" i="2"/>
  <c r="C706" i="2"/>
  <c r="B707" i="2"/>
  <c r="C707" i="2"/>
  <c r="B708" i="2"/>
  <c r="C708" i="2"/>
  <c r="B709" i="2"/>
  <c r="C709" i="2"/>
  <c r="B710" i="2"/>
  <c r="C710" i="2"/>
  <c r="B711" i="2"/>
  <c r="C711" i="2"/>
  <c r="B712" i="2"/>
  <c r="C712" i="2"/>
  <c r="B713" i="2"/>
  <c r="C713" i="2"/>
  <c r="B714" i="2"/>
  <c r="C714" i="2"/>
  <c r="B715" i="2"/>
  <c r="C715" i="2"/>
  <c r="B716" i="2"/>
  <c r="C716" i="2"/>
  <c r="B717" i="2"/>
  <c r="C717" i="2"/>
  <c r="B718" i="2"/>
  <c r="C718" i="2"/>
  <c r="B719" i="2"/>
  <c r="C719" i="2"/>
  <c r="B720" i="2"/>
  <c r="C720" i="2"/>
  <c r="B721" i="2"/>
  <c r="C721" i="2"/>
  <c r="B722" i="2"/>
  <c r="C722" i="2"/>
  <c r="B723" i="2"/>
  <c r="C723" i="2"/>
  <c r="B724" i="2"/>
  <c r="C724" i="2"/>
  <c r="B725" i="2"/>
  <c r="C725" i="2"/>
  <c r="B726" i="2"/>
  <c r="C726" i="2"/>
  <c r="B727" i="2"/>
  <c r="C727" i="2"/>
  <c r="B728" i="2"/>
  <c r="C728" i="2"/>
  <c r="B729" i="2"/>
  <c r="C729" i="2"/>
  <c r="B730" i="2"/>
  <c r="C730" i="2"/>
  <c r="B731" i="2"/>
  <c r="C731" i="2"/>
  <c r="B732" i="2"/>
  <c r="C732" i="2"/>
  <c r="B733" i="2"/>
  <c r="C733" i="2"/>
  <c r="B734" i="2"/>
  <c r="C734" i="2"/>
  <c r="B735" i="2"/>
  <c r="C735" i="2"/>
  <c r="B736" i="2"/>
  <c r="C736" i="2"/>
  <c r="B737" i="2"/>
  <c r="C737" i="2"/>
  <c r="B738" i="2"/>
  <c r="C738" i="2"/>
  <c r="B739" i="2"/>
  <c r="C739" i="2"/>
  <c r="B740" i="2"/>
  <c r="C740" i="2"/>
  <c r="B741" i="2"/>
  <c r="C741" i="2"/>
  <c r="B742" i="2"/>
  <c r="C742" i="2"/>
  <c r="B743" i="2"/>
  <c r="C743" i="2"/>
  <c r="B744" i="2"/>
  <c r="C744" i="2"/>
  <c r="B745" i="2"/>
  <c r="C745" i="2"/>
  <c r="B746" i="2"/>
  <c r="C746" i="2"/>
  <c r="B747" i="2"/>
  <c r="C747" i="2"/>
  <c r="B748" i="2"/>
  <c r="C748" i="2"/>
  <c r="B749" i="2"/>
  <c r="C749" i="2"/>
  <c r="B750" i="2"/>
  <c r="C750" i="2"/>
  <c r="B751" i="2"/>
  <c r="C751" i="2"/>
  <c r="B752" i="2"/>
  <c r="C752" i="2"/>
  <c r="B753" i="2"/>
  <c r="C753" i="2"/>
  <c r="B754" i="2"/>
  <c r="C754" i="2"/>
  <c r="B755" i="2"/>
  <c r="C755" i="2"/>
  <c r="B756" i="2"/>
  <c r="C756" i="2"/>
  <c r="B757" i="2"/>
  <c r="C757" i="2"/>
  <c r="B758" i="2"/>
  <c r="C758" i="2"/>
  <c r="B759" i="2"/>
  <c r="C759" i="2"/>
  <c r="B760" i="2"/>
  <c r="C760" i="2"/>
  <c r="B761" i="2"/>
  <c r="C761" i="2"/>
  <c r="B762" i="2"/>
  <c r="C762" i="2"/>
  <c r="B763" i="2"/>
  <c r="C763" i="2"/>
  <c r="B764" i="2"/>
  <c r="C764" i="2"/>
  <c r="B765" i="2"/>
  <c r="C765" i="2"/>
  <c r="B766" i="2"/>
  <c r="C766" i="2"/>
  <c r="B767" i="2"/>
  <c r="C767" i="2"/>
  <c r="B768" i="2"/>
  <c r="C768" i="2"/>
  <c r="B769" i="2"/>
  <c r="C769" i="2"/>
  <c r="B770" i="2"/>
  <c r="C770" i="2"/>
  <c r="B771" i="2"/>
  <c r="C771" i="2"/>
  <c r="B772" i="2"/>
  <c r="C772" i="2"/>
  <c r="B773" i="2"/>
  <c r="C773" i="2"/>
  <c r="B774" i="2"/>
  <c r="C774" i="2"/>
  <c r="B775" i="2"/>
  <c r="C775" i="2"/>
  <c r="B776" i="2"/>
  <c r="C776" i="2"/>
  <c r="B777" i="2"/>
  <c r="C777" i="2"/>
  <c r="B778" i="2"/>
  <c r="C778" i="2"/>
  <c r="B779" i="2"/>
  <c r="C779" i="2"/>
  <c r="B780" i="2"/>
  <c r="C780" i="2"/>
  <c r="B781" i="2"/>
  <c r="C781" i="2"/>
  <c r="B782" i="2"/>
  <c r="C782" i="2"/>
  <c r="B783" i="2"/>
  <c r="C783" i="2"/>
  <c r="B784" i="2"/>
  <c r="C784" i="2"/>
  <c r="B785" i="2"/>
  <c r="C785" i="2"/>
  <c r="B786" i="2"/>
  <c r="C786" i="2"/>
  <c r="B787" i="2"/>
  <c r="C787" i="2"/>
  <c r="B788" i="2"/>
  <c r="C788" i="2"/>
  <c r="B789" i="2"/>
  <c r="C789" i="2"/>
  <c r="B790" i="2"/>
  <c r="C790" i="2"/>
  <c r="B791" i="2"/>
  <c r="C791" i="2"/>
  <c r="B792" i="2"/>
  <c r="C792" i="2"/>
  <c r="B793" i="2"/>
  <c r="C793" i="2"/>
  <c r="B794" i="2"/>
  <c r="C794" i="2"/>
  <c r="B795" i="2"/>
  <c r="C795" i="2"/>
  <c r="B796" i="2"/>
  <c r="C796" i="2"/>
  <c r="B797" i="2"/>
  <c r="C797" i="2"/>
  <c r="B798" i="2"/>
  <c r="C798" i="2"/>
  <c r="B799" i="2"/>
  <c r="C799" i="2"/>
  <c r="B800" i="2"/>
  <c r="C800" i="2"/>
  <c r="B801" i="2"/>
  <c r="C801" i="2"/>
  <c r="B802" i="2"/>
  <c r="C802" i="2"/>
  <c r="B803" i="2"/>
  <c r="C803" i="2"/>
  <c r="B804" i="2"/>
  <c r="C804" i="2"/>
  <c r="B805" i="2"/>
  <c r="C805" i="2"/>
  <c r="B806" i="2"/>
  <c r="C806" i="2"/>
  <c r="B807" i="2"/>
  <c r="C807" i="2"/>
  <c r="B808" i="2"/>
  <c r="C808" i="2"/>
  <c r="B809" i="2"/>
  <c r="C809" i="2"/>
  <c r="B810" i="2"/>
  <c r="C810" i="2"/>
  <c r="B811" i="2"/>
  <c r="C811" i="2"/>
  <c r="B812" i="2"/>
  <c r="C812" i="2"/>
  <c r="B813" i="2"/>
  <c r="C813" i="2"/>
  <c r="B814" i="2"/>
  <c r="C814" i="2"/>
  <c r="B815" i="2"/>
  <c r="C815" i="2"/>
  <c r="B816" i="2"/>
  <c r="C816" i="2"/>
  <c r="B817" i="2"/>
  <c r="C817" i="2"/>
  <c r="B818" i="2"/>
  <c r="C818" i="2"/>
  <c r="B819" i="2"/>
  <c r="C819" i="2"/>
  <c r="B820" i="2"/>
  <c r="C820" i="2"/>
  <c r="B821" i="2"/>
  <c r="C821" i="2"/>
  <c r="B822" i="2"/>
  <c r="C822" i="2"/>
  <c r="B823" i="2"/>
  <c r="C823" i="2"/>
  <c r="B824" i="2"/>
  <c r="C824" i="2"/>
  <c r="B825" i="2"/>
  <c r="C825" i="2"/>
  <c r="B826" i="2"/>
  <c r="C826" i="2"/>
  <c r="B827" i="2"/>
  <c r="C827" i="2"/>
  <c r="B828" i="2"/>
  <c r="C828" i="2"/>
  <c r="B829" i="2"/>
  <c r="C829" i="2"/>
  <c r="B830" i="2"/>
  <c r="C830" i="2"/>
  <c r="B831" i="2"/>
  <c r="C831" i="2"/>
  <c r="B832" i="2"/>
  <c r="C832" i="2"/>
  <c r="B833" i="2"/>
  <c r="C833" i="2"/>
  <c r="B834" i="2"/>
  <c r="C834" i="2"/>
  <c r="B835" i="2"/>
  <c r="C835" i="2"/>
  <c r="B836" i="2"/>
  <c r="C836" i="2"/>
  <c r="B837" i="2"/>
  <c r="C837" i="2"/>
  <c r="B838" i="2"/>
  <c r="C838" i="2"/>
  <c r="B839" i="2"/>
  <c r="C839" i="2"/>
  <c r="B840" i="2"/>
  <c r="C840" i="2"/>
  <c r="B841" i="2"/>
  <c r="C841" i="2"/>
  <c r="B842" i="2"/>
  <c r="C842" i="2"/>
  <c r="B843" i="2"/>
  <c r="C843" i="2"/>
  <c r="B844" i="2"/>
  <c r="C844" i="2"/>
  <c r="B845" i="2"/>
  <c r="C845" i="2"/>
  <c r="B846" i="2"/>
  <c r="C846" i="2"/>
  <c r="B847" i="2"/>
  <c r="C847" i="2"/>
  <c r="B848" i="2"/>
  <c r="C848" i="2"/>
  <c r="B849" i="2"/>
  <c r="C849" i="2"/>
  <c r="B850" i="2"/>
  <c r="C850" i="2"/>
  <c r="B851" i="2"/>
  <c r="C851" i="2"/>
  <c r="B852" i="2"/>
  <c r="C852" i="2"/>
  <c r="B853" i="2"/>
  <c r="C853" i="2"/>
  <c r="B854" i="2"/>
  <c r="C854" i="2"/>
  <c r="B855" i="2"/>
  <c r="C855" i="2"/>
  <c r="B856" i="2"/>
  <c r="C856" i="2"/>
  <c r="B857" i="2"/>
  <c r="C857" i="2"/>
  <c r="B858" i="2"/>
  <c r="C858" i="2"/>
  <c r="B859" i="2"/>
  <c r="C859" i="2"/>
  <c r="B860" i="2"/>
  <c r="C860" i="2"/>
  <c r="B861" i="2"/>
  <c r="C861" i="2"/>
  <c r="B862" i="2"/>
  <c r="C862" i="2"/>
  <c r="B863" i="2"/>
  <c r="C863" i="2"/>
  <c r="B864" i="2"/>
  <c r="C864" i="2"/>
  <c r="B865" i="2"/>
  <c r="C865" i="2"/>
  <c r="B866" i="2"/>
  <c r="C866" i="2"/>
  <c r="B867" i="2"/>
  <c r="C867" i="2"/>
  <c r="B868" i="2"/>
  <c r="C868" i="2"/>
  <c r="B869" i="2"/>
  <c r="C869" i="2"/>
  <c r="B870" i="2"/>
  <c r="C870" i="2"/>
  <c r="B871" i="2"/>
  <c r="C871" i="2"/>
  <c r="B872" i="2"/>
  <c r="C872" i="2"/>
  <c r="B873" i="2"/>
  <c r="C873" i="2"/>
  <c r="B874" i="2"/>
  <c r="C874" i="2"/>
  <c r="B875" i="2"/>
  <c r="C875" i="2"/>
  <c r="B876" i="2"/>
  <c r="C876" i="2"/>
  <c r="B877" i="2"/>
  <c r="C877" i="2"/>
  <c r="B878" i="2"/>
  <c r="C878" i="2"/>
  <c r="B879" i="2"/>
  <c r="C879" i="2"/>
  <c r="B880" i="2"/>
  <c r="C880" i="2"/>
  <c r="B881" i="2"/>
  <c r="C881" i="2"/>
  <c r="B882" i="2"/>
  <c r="C882" i="2"/>
  <c r="B883" i="2"/>
  <c r="C883" i="2"/>
  <c r="B884" i="2"/>
  <c r="C884" i="2"/>
  <c r="B885" i="2"/>
  <c r="C885" i="2"/>
  <c r="B886" i="2"/>
  <c r="C886" i="2"/>
  <c r="B887" i="2"/>
  <c r="C887" i="2"/>
  <c r="B888" i="2"/>
  <c r="C888" i="2"/>
  <c r="B889" i="2"/>
  <c r="C889" i="2"/>
  <c r="B890" i="2"/>
  <c r="C890" i="2"/>
  <c r="B891" i="2"/>
  <c r="C891" i="2"/>
  <c r="B892" i="2"/>
  <c r="C892" i="2"/>
  <c r="B893" i="2"/>
  <c r="C893" i="2"/>
  <c r="B894" i="2"/>
  <c r="C894" i="2"/>
  <c r="B895" i="2"/>
  <c r="C895" i="2"/>
  <c r="B896" i="2"/>
  <c r="C896" i="2"/>
  <c r="B897" i="2"/>
  <c r="C897" i="2"/>
  <c r="B898" i="2"/>
  <c r="C898" i="2"/>
  <c r="B899" i="2"/>
  <c r="C899" i="2"/>
  <c r="B900" i="2"/>
  <c r="C900" i="2"/>
  <c r="B901" i="2"/>
  <c r="C901" i="2"/>
  <c r="B902" i="2"/>
  <c r="C902" i="2"/>
  <c r="B903" i="2"/>
  <c r="C903" i="2"/>
  <c r="B904" i="2"/>
  <c r="C904" i="2"/>
  <c r="B905" i="2"/>
  <c r="C905" i="2"/>
  <c r="B906" i="2"/>
  <c r="C906" i="2"/>
  <c r="B907" i="2"/>
  <c r="C907" i="2"/>
  <c r="B908" i="2"/>
  <c r="C908" i="2"/>
  <c r="B909" i="2"/>
  <c r="C909" i="2"/>
  <c r="B910" i="2"/>
  <c r="C910" i="2"/>
  <c r="B911" i="2"/>
  <c r="C911" i="2"/>
  <c r="B912" i="2"/>
  <c r="C912" i="2"/>
  <c r="B913" i="2"/>
  <c r="C913" i="2"/>
  <c r="B914" i="2"/>
  <c r="C914" i="2"/>
  <c r="B915" i="2"/>
  <c r="C915" i="2"/>
  <c r="B916" i="2"/>
  <c r="C916" i="2"/>
  <c r="B917" i="2"/>
  <c r="C917" i="2"/>
  <c r="B918" i="2"/>
  <c r="C918" i="2"/>
  <c r="B919" i="2"/>
  <c r="C919" i="2"/>
  <c r="B920" i="2"/>
  <c r="C920" i="2"/>
  <c r="B921" i="2"/>
  <c r="C921" i="2"/>
  <c r="B922" i="2"/>
  <c r="C922" i="2"/>
  <c r="B923" i="2"/>
  <c r="C923" i="2"/>
  <c r="B924" i="2"/>
  <c r="C924" i="2"/>
  <c r="B925" i="2"/>
  <c r="C925" i="2"/>
  <c r="B926" i="2"/>
  <c r="C926" i="2"/>
  <c r="B927" i="2"/>
  <c r="C927" i="2"/>
  <c r="B928" i="2"/>
  <c r="C928" i="2"/>
  <c r="B929" i="2"/>
  <c r="C929" i="2"/>
  <c r="B930" i="2"/>
  <c r="C930" i="2"/>
  <c r="B931" i="2"/>
  <c r="C931" i="2"/>
  <c r="B932" i="2"/>
  <c r="C932" i="2"/>
  <c r="B933" i="2"/>
  <c r="C933" i="2"/>
  <c r="B934" i="2"/>
  <c r="C934" i="2"/>
  <c r="B935" i="2"/>
  <c r="C935" i="2"/>
  <c r="B936" i="2"/>
  <c r="C936" i="2"/>
  <c r="B937" i="2"/>
  <c r="C937" i="2"/>
  <c r="B938" i="2"/>
  <c r="C938" i="2"/>
  <c r="B939" i="2"/>
  <c r="C939" i="2"/>
  <c r="B940" i="2"/>
  <c r="C940" i="2"/>
  <c r="B941" i="2"/>
  <c r="C941" i="2"/>
  <c r="B942" i="2"/>
  <c r="C942" i="2"/>
  <c r="B943" i="2"/>
  <c r="C943" i="2"/>
  <c r="B944" i="2"/>
  <c r="C944" i="2"/>
  <c r="B945" i="2"/>
  <c r="C945" i="2"/>
  <c r="B946" i="2"/>
  <c r="C946" i="2"/>
  <c r="B947" i="2"/>
  <c r="C947" i="2"/>
  <c r="B948" i="2"/>
  <c r="C948" i="2"/>
  <c r="B949" i="2"/>
  <c r="C949" i="2"/>
  <c r="B950" i="2"/>
  <c r="C950" i="2"/>
  <c r="B951" i="2"/>
  <c r="C951" i="2"/>
  <c r="B952" i="2"/>
  <c r="C952" i="2"/>
  <c r="B953" i="2"/>
  <c r="C953" i="2"/>
  <c r="B954" i="2"/>
  <c r="C954" i="2"/>
  <c r="B955" i="2"/>
  <c r="C955" i="2"/>
  <c r="B956" i="2"/>
  <c r="C956" i="2"/>
  <c r="B957" i="2"/>
  <c r="C957" i="2"/>
  <c r="B958" i="2"/>
  <c r="C958" i="2"/>
  <c r="B959" i="2"/>
  <c r="C959" i="2"/>
  <c r="B960" i="2"/>
  <c r="C960" i="2"/>
  <c r="B961" i="2"/>
  <c r="C961" i="2"/>
  <c r="B962" i="2"/>
  <c r="C962" i="2"/>
  <c r="B963" i="2"/>
  <c r="C963" i="2"/>
  <c r="B964" i="2"/>
  <c r="C964" i="2"/>
  <c r="B965" i="2"/>
  <c r="C965" i="2"/>
  <c r="B966" i="2"/>
  <c r="C966" i="2"/>
  <c r="B967" i="2"/>
  <c r="C967" i="2"/>
  <c r="B968" i="2"/>
  <c r="C968" i="2"/>
  <c r="B969" i="2"/>
  <c r="C969" i="2"/>
  <c r="B970" i="2"/>
  <c r="C970" i="2"/>
  <c r="B971" i="2"/>
  <c r="C971" i="2"/>
  <c r="B972" i="2"/>
  <c r="C972" i="2"/>
  <c r="B973" i="2"/>
  <c r="C973" i="2"/>
  <c r="B974" i="2"/>
  <c r="C974" i="2"/>
  <c r="B975" i="2"/>
  <c r="C975" i="2"/>
  <c r="B976" i="2"/>
  <c r="C976" i="2"/>
  <c r="B977" i="2"/>
  <c r="C977" i="2"/>
  <c r="B978" i="2"/>
  <c r="C978" i="2"/>
  <c r="B979" i="2"/>
  <c r="C979" i="2"/>
  <c r="B980" i="2"/>
  <c r="C980" i="2"/>
  <c r="B981" i="2"/>
  <c r="C981" i="2"/>
  <c r="B982" i="2"/>
  <c r="C982" i="2"/>
  <c r="B983" i="2"/>
  <c r="C983" i="2"/>
  <c r="B984" i="2"/>
  <c r="C984" i="2"/>
  <c r="B985" i="2"/>
  <c r="C985" i="2"/>
  <c r="B986" i="2"/>
  <c r="C986" i="2"/>
  <c r="B987" i="2"/>
  <c r="C987" i="2"/>
  <c r="B988" i="2"/>
  <c r="C988" i="2"/>
  <c r="B989" i="2"/>
  <c r="C989" i="2"/>
  <c r="B990" i="2"/>
  <c r="C990" i="2"/>
  <c r="B991" i="2"/>
  <c r="C991" i="2"/>
  <c r="B992" i="2"/>
  <c r="C992" i="2"/>
  <c r="B993" i="2"/>
  <c r="C993" i="2"/>
  <c r="B994" i="2"/>
  <c r="C994" i="2"/>
  <c r="B995" i="2"/>
  <c r="C995" i="2"/>
  <c r="B996" i="2"/>
  <c r="C996" i="2"/>
  <c r="B997" i="2"/>
  <c r="C997" i="2"/>
  <c r="B998" i="2"/>
  <c r="C998" i="2"/>
  <c r="B999" i="2"/>
  <c r="C999" i="2"/>
  <c r="B1000" i="2"/>
  <c r="C1000" i="2"/>
  <c r="B1001" i="2"/>
  <c r="C1001" i="2"/>
  <c r="B1002" i="2"/>
  <c r="C1002" i="2"/>
  <c r="B1003" i="2"/>
  <c r="C1003" i="2"/>
  <c r="B1004" i="2"/>
  <c r="C1004" i="2"/>
  <c r="B1005" i="2"/>
  <c r="C1005" i="2"/>
  <c r="B1006" i="2"/>
  <c r="C1006" i="2"/>
  <c r="B1007" i="2"/>
  <c r="C1007" i="2"/>
  <c r="B1008" i="2"/>
  <c r="C1008" i="2"/>
  <c r="B1009" i="2"/>
  <c r="C1009" i="2"/>
  <c r="B1010" i="2"/>
  <c r="C1010" i="2"/>
  <c r="B1011" i="2"/>
  <c r="C1011" i="2"/>
  <c r="B1012" i="2"/>
  <c r="C1012" i="2"/>
  <c r="B1013" i="2"/>
  <c r="C1013" i="2"/>
  <c r="B1014" i="2"/>
  <c r="C1014" i="2"/>
  <c r="B1015" i="2"/>
  <c r="C1015" i="2"/>
  <c r="B1016" i="2"/>
  <c r="C1016" i="2"/>
  <c r="B1017" i="2"/>
  <c r="C1017" i="2"/>
  <c r="B1018" i="2"/>
  <c r="C1018" i="2"/>
  <c r="B1019" i="2"/>
  <c r="C1019" i="2"/>
  <c r="B1020" i="2"/>
  <c r="C1020" i="2"/>
  <c r="B1021" i="2"/>
  <c r="C1021" i="2"/>
  <c r="B1022" i="2"/>
  <c r="C1022" i="2"/>
  <c r="B1023" i="2"/>
  <c r="C1023" i="2"/>
  <c r="B1024" i="2"/>
  <c r="C1024" i="2"/>
  <c r="B1025" i="2"/>
  <c r="C1025" i="2"/>
  <c r="B1026" i="2"/>
  <c r="C1026" i="2"/>
  <c r="B1027" i="2"/>
  <c r="C1027" i="2"/>
  <c r="B1028" i="2"/>
  <c r="C1028" i="2"/>
  <c r="B1029" i="2"/>
  <c r="C1029" i="2"/>
  <c r="B1030" i="2"/>
  <c r="C1030" i="2"/>
  <c r="B1031" i="2"/>
  <c r="C1031" i="2"/>
  <c r="B1032" i="2"/>
  <c r="C1032" i="2"/>
  <c r="B1033" i="2"/>
  <c r="C1033" i="2"/>
  <c r="B1034" i="2"/>
  <c r="C1034" i="2"/>
  <c r="B1035" i="2"/>
  <c r="C1035" i="2"/>
  <c r="B1036" i="2"/>
  <c r="C1036" i="2"/>
  <c r="B1037" i="2"/>
  <c r="C1037" i="2"/>
  <c r="B1038" i="2"/>
  <c r="C1038" i="2"/>
  <c r="B1039" i="2"/>
  <c r="C1039" i="2"/>
  <c r="B1040" i="2"/>
  <c r="C1040" i="2"/>
  <c r="B1041" i="2"/>
  <c r="C1041" i="2"/>
  <c r="B1042" i="2"/>
  <c r="C1042" i="2"/>
  <c r="B1043" i="2"/>
  <c r="C1043" i="2"/>
  <c r="B1044" i="2"/>
  <c r="C1044" i="2"/>
  <c r="B1045" i="2"/>
  <c r="C1045" i="2"/>
  <c r="B1046" i="2"/>
  <c r="C1046" i="2"/>
  <c r="B1047" i="2"/>
  <c r="C1047" i="2"/>
  <c r="B1048" i="2"/>
  <c r="C1048" i="2"/>
  <c r="B1049" i="2"/>
  <c r="C1049" i="2"/>
  <c r="B1050" i="2"/>
  <c r="C1050" i="2"/>
  <c r="B1051" i="2"/>
  <c r="C1051" i="2"/>
  <c r="B1052" i="2"/>
  <c r="C1052" i="2"/>
  <c r="B1053" i="2"/>
  <c r="C1053" i="2"/>
  <c r="B1054" i="2"/>
  <c r="C1054" i="2"/>
  <c r="B1055" i="2"/>
  <c r="C1055" i="2"/>
  <c r="B1056" i="2"/>
  <c r="C1056" i="2"/>
  <c r="B1057" i="2"/>
  <c r="C1057" i="2"/>
  <c r="B1058" i="2"/>
  <c r="C1058" i="2"/>
  <c r="B1059" i="2"/>
  <c r="C1059" i="2"/>
  <c r="B1060" i="2"/>
  <c r="C1060" i="2"/>
  <c r="B1061" i="2"/>
  <c r="C1061" i="2"/>
  <c r="B1062" i="2"/>
  <c r="C1062" i="2"/>
  <c r="B1063" i="2"/>
  <c r="C1063" i="2"/>
  <c r="B1064" i="2"/>
  <c r="C1064" i="2"/>
  <c r="B1065" i="2"/>
  <c r="C1065" i="2"/>
  <c r="B1066" i="2"/>
  <c r="C1066" i="2"/>
  <c r="B1067" i="2"/>
  <c r="C1067" i="2"/>
  <c r="B1068" i="2"/>
  <c r="C1068" i="2"/>
  <c r="B1069" i="2"/>
  <c r="C1069" i="2"/>
  <c r="B1070" i="2"/>
  <c r="C1070" i="2"/>
  <c r="B1071" i="2"/>
  <c r="C1071" i="2"/>
  <c r="B1072" i="2"/>
  <c r="C1072" i="2"/>
  <c r="B1073" i="2"/>
  <c r="C1073" i="2"/>
  <c r="B1074" i="2"/>
  <c r="C1074" i="2"/>
  <c r="B1075" i="2"/>
  <c r="C1075" i="2"/>
  <c r="B1076" i="2"/>
  <c r="C1076" i="2"/>
  <c r="B1077" i="2"/>
  <c r="C1077" i="2"/>
  <c r="B1078" i="2"/>
  <c r="C1078" i="2"/>
  <c r="B1079" i="2"/>
  <c r="C1079" i="2"/>
  <c r="B1080" i="2"/>
  <c r="C1080" i="2"/>
  <c r="B1081" i="2"/>
  <c r="C1081" i="2"/>
  <c r="B1082" i="2"/>
  <c r="C1082" i="2"/>
  <c r="B1083" i="2"/>
  <c r="C1083" i="2"/>
  <c r="B1084" i="2"/>
  <c r="C1084" i="2"/>
  <c r="B1085" i="2"/>
  <c r="C1085" i="2"/>
  <c r="B1086" i="2"/>
  <c r="C1086" i="2"/>
  <c r="B1087" i="2"/>
  <c r="C1087" i="2"/>
  <c r="B1088" i="2"/>
  <c r="C1088" i="2"/>
  <c r="B1089" i="2"/>
  <c r="C1089" i="2"/>
  <c r="B1090" i="2"/>
  <c r="C1090" i="2"/>
  <c r="B1091" i="2"/>
  <c r="C1091" i="2"/>
  <c r="B1092" i="2"/>
  <c r="C1092" i="2"/>
  <c r="B1093" i="2"/>
  <c r="C1093" i="2"/>
  <c r="B1094" i="2"/>
  <c r="C1094" i="2"/>
  <c r="B1095" i="2"/>
  <c r="C1095" i="2"/>
  <c r="B1096" i="2"/>
  <c r="C1096" i="2"/>
  <c r="B1097" i="2"/>
  <c r="C1097" i="2"/>
  <c r="B1098" i="2"/>
  <c r="C1098" i="2"/>
  <c r="B1099" i="2"/>
  <c r="C1099" i="2"/>
  <c r="B1100" i="2"/>
  <c r="C1100" i="2"/>
  <c r="B1101" i="2"/>
  <c r="C1101" i="2"/>
  <c r="B1102" i="2"/>
  <c r="C1102" i="2"/>
  <c r="B1103" i="2"/>
  <c r="C1103" i="2"/>
  <c r="B1104" i="2"/>
  <c r="C1104" i="2"/>
  <c r="B1105" i="2"/>
  <c r="C1105" i="2"/>
  <c r="B1106" i="2"/>
  <c r="C1106" i="2"/>
  <c r="B1107" i="2"/>
  <c r="C1107" i="2"/>
  <c r="B1108" i="2"/>
  <c r="C1108" i="2"/>
  <c r="B1109" i="2"/>
  <c r="C1109" i="2"/>
  <c r="B1110" i="2"/>
  <c r="C1110" i="2"/>
  <c r="B1111" i="2"/>
  <c r="C1111" i="2"/>
  <c r="B1112" i="2"/>
  <c r="C1112" i="2"/>
  <c r="B1113" i="2"/>
  <c r="C1113" i="2"/>
  <c r="B1114" i="2"/>
  <c r="C1114" i="2"/>
  <c r="B1115" i="2"/>
  <c r="C1115" i="2"/>
  <c r="B1116" i="2"/>
  <c r="C1116" i="2"/>
  <c r="B1117" i="2"/>
  <c r="C1117" i="2"/>
  <c r="B1118" i="2"/>
  <c r="C1118" i="2"/>
  <c r="B1119" i="2"/>
  <c r="C1119" i="2"/>
  <c r="B1120" i="2"/>
  <c r="C1120" i="2"/>
  <c r="B1121" i="2"/>
  <c r="C1121" i="2"/>
  <c r="B1122" i="2"/>
  <c r="C1122" i="2"/>
  <c r="B1123" i="2"/>
  <c r="C1123" i="2"/>
  <c r="B1124" i="2"/>
  <c r="C1124" i="2"/>
  <c r="B1125" i="2"/>
  <c r="C1125" i="2"/>
  <c r="B1126" i="2"/>
  <c r="C1126" i="2"/>
  <c r="B1127" i="2"/>
  <c r="C1127" i="2"/>
  <c r="B1128" i="2"/>
  <c r="C1128" i="2"/>
  <c r="B1129" i="2"/>
  <c r="C1129" i="2"/>
  <c r="B1130" i="2"/>
  <c r="C1130" i="2"/>
  <c r="B1131" i="2"/>
  <c r="C1131" i="2"/>
  <c r="B1132" i="2"/>
  <c r="C1132" i="2"/>
  <c r="B1133" i="2"/>
  <c r="C1133" i="2"/>
  <c r="B1134" i="2"/>
  <c r="C1134" i="2"/>
  <c r="B1135" i="2"/>
  <c r="C1135" i="2"/>
  <c r="B1136" i="2"/>
  <c r="C1136" i="2"/>
  <c r="B1137" i="2"/>
  <c r="C1137" i="2"/>
  <c r="B1138" i="2"/>
  <c r="C1138" i="2"/>
  <c r="B1139" i="2"/>
  <c r="C1139" i="2"/>
  <c r="B1140" i="2"/>
  <c r="C1140" i="2"/>
  <c r="B1141" i="2"/>
  <c r="C1141" i="2"/>
  <c r="B1142" i="2"/>
  <c r="C1142" i="2"/>
  <c r="B1143" i="2"/>
  <c r="C1143" i="2"/>
  <c r="B1144" i="2"/>
  <c r="C1144" i="2"/>
  <c r="B1145" i="2"/>
  <c r="C1145" i="2"/>
  <c r="B1146" i="2"/>
  <c r="C1146" i="2"/>
  <c r="B1147" i="2"/>
  <c r="C1147" i="2"/>
  <c r="B1148" i="2"/>
  <c r="C1148" i="2"/>
  <c r="B1149" i="2"/>
  <c r="C1149" i="2"/>
  <c r="B1150" i="2"/>
  <c r="C1150" i="2"/>
  <c r="B1151" i="2"/>
  <c r="C1151" i="2"/>
  <c r="B1152" i="2"/>
  <c r="C1152" i="2"/>
  <c r="B1153" i="2"/>
  <c r="C1153" i="2"/>
  <c r="B1154" i="2"/>
  <c r="C1154" i="2"/>
  <c r="B1155" i="2"/>
  <c r="C1155" i="2"/>
  <c r="B1156" i="2"/>
  <c r="C1156" i="2"/>
  <c r="B1157" i="2"/>
  <c r="C1157" i="2"/>
  <c r="B1158" i="2"/>
  <c r="C1158" i="2"/>
  <c r="B1159" i="2"/>
  <c r="C1159" i="2"/>
  <c r="B1160" i="2"/>
  <c r="C1160" i="2"/>
  <c r="B1161" i="2"/>
  <c r="C1161" i="2"/>
  <c r="B1162" i="2"/>
  <c r="C1162" i="2"/>
  <c r="B1163" i="2"/>
  <c r="C1163" i="2"/>
  <c r="B1164" i="2"/>
  <c r="C1164" i="2"/>
  <c r="B1165" i="2"/>
  <c r="C1165" i="2"/>
  <c r="B1166" i="2"/>
  <c r="C1166" i="2"/>
  <c r="B1167" i="2"/>
  <c r="C1167" i="2"/>
  <c r="B1168" i="2"/>
  <c r="C1168" i="2"/>
  <c r="B1169" i="2"/>
  <c r="C1169" i="2"/>
  <c r="B1170" i="2"/>
  <c r="C1170" i="2"/>
  <c r="B1171" i="2"/>
  <c r="C1171" i="2"/>
  <c r="B1172" i="2"/>
  <c r="C1172" i="2"/>
  <c r="B1173" i="2"/>
  <c r="C1173" i="2"/>
  <c r="B1174" i="2"/>
  <c r="C1174" i="2"/>
  <c r="B1175" i="2"/>
  <c r="C1175" i="2"/>
  <c r="B1176" i="2"/>
  <c r="C1176" i="2"/>
  <c r="B1177" i="2"/>
  <c r="C1177" i="2"/>
  <c r="B1178" i="2"/>
  <c r="C1178" i="2"/>
  <c r="B1179" i="2"/>
  <c r="C1179" i="2"/>
  <c r="B1180" i="2"/>
  <c r="C1180" i="2"/>
  <c r="B1181" i="2"/>
  <c r="C1181" i="2"/>
  <c r="B1182" i="2"/>
  <c r="C1182" i="2"/>
  <c r="B1183" i="2"/>
  <c r="C1183" i="2"/>
  <c r="B1184" i="2"/>
  <c r="C1184" i="2"/>
  <c r="B1185" i="2"/>
  <c r="C1185" i="2"/>
  <c r="B1186" i="2"/>
  <c r="C1186" i="2"/>
  <c r="B1187" i="2"/>
  <c r="C1187" i="2"/>
  <c r="B1188" i="2"/>
  <c r="C1188" i="2"/>
  <c r="B1189" i="2"/>
  <c r="C1189" i="2"/>
  <c r="B1190" i="2"/>
  <c r="C1190" i="2"/>
  <c r="B1191" i="2"/>
  <c r="C1191" i="2"/>
  <c r="B1192" i="2"/>
  <c r="C1192" i="2"/>
  <c r="B1193" i="2"/>
  <c r="C1193" i="2"/>
  <c r="B1194" i="2"/>
  <c r="C1194" i="2"/>
  <c r="B1195" i="2"/>
  <c r="C1195" i="2"/>
  <c r="B1196" i="2"/>
  <c r="C1196" i="2"/>
  <c r="B1197" i="2"/>
  <c r="C1197" i="2"/>
  <c r="B1198" i="2"/>
  <c r="C1198" i="2"/>
  <c r="B1199" i="2"/>
  <c r="C1199" i="2"/>
  <c r="B1200" i="2"/>
  <c r="C1200" i="2"/>
  <c r="B1201" i="2"/>
  <c r="C1201" i="2"/>
  <c r="B1202" i="2"/>
  <c r="C1202" i="2"/>
  <c r="B1203" i="2"/>
  <c r="C1203" i="2"/>
  <c r="B1204" i="2"/>
  <c r="C1204" i="2"/>
  <c r="B1205" i="2"/>
  <c r="C1205" i="2"/>
  <c r="B1206" i="2"/>
  <c r="C1206" i="2"/>
  <c r="B1207" i="2"/>
  <c r="C1207" i="2"/>
  <c r="B1208" i="2"/>
  <c r="C1208" i="2"/>
  <c r="B1209" i="2"/>
  <c r="C1209" i="2"/>
  <c r="B1210" i="2"/>
  <c r="C1210" i="2"/>
  <c r="B1211" i="2"/>
  <c r="C1211" i="2"/>
  <c r="B1212" i="2"/>
  <c r="C1212" i="2"/>
  <c r="B1213" i="2"/>
  <c r="C1213" i="2"/>
  <c r="B1214" i="2"/>
  <c r="C1214" i="2"/>
  <c r="B1215" i="2"/>
  <c r="C1215" i="2"/>
  <c r="B1216" i="2"/>
  <c r="C1216" i="2"/>
  <c r="B1217" i="2"/>
  <c r="C1217" i="2"/>
  <c r="B1218" i="2"/>
  <c r="C1218" i="2"/>
  <c r="B1219" i="2"/>
  <c r="C1219" i="2"/>
  <c r="B1220" i="2"/>
  <c r="C1220" i="2"/>
  <c r="B1221" i="2"/>
  <c r="C1221" i="2"/>
  <c r="B1222" i="2"/>
  <c r="C1222" i="2"/>
  <c r="B1223" i="2"/>
  <c r="C1223" i="2"/>
  <c r="B1224" i="2"/>
  <c r="C1224" i="2"/>
  <c r="B1225" i="2"/>
  <c r="C1225" i="2"/>
  <c r="B1226" i="2"/>
  <c r="C1226" i="2"/>
  <c r="B1227" i="2"/>
  <c r="C1227" i="2"/>
  <c r="B1228" i="2"/>
  <c r="C1228" i="2"/>
  <c r="B1229" i="2"/>
  <c r="C1229" i="2"/>
  <c r="B1230" i="2"/>
  <c r="C1230" i="2"/>
  <c r="B1231" i="2"/>
  <c r="C1231" i="2"/>
  <c r="B1232" i="2"/>
  <c r="C1232" i="2"/>
  <c r="B1233" i="2"/>
  <c r="C1233" i="2"/>
  <c r="B1234" i="2"/>
  <c r="C1234" i="2"/>
  <c r="B1235" i="2"/>
  <c r="C1235" i="2"/>
  <c r="B1236" i="2"/>
  <c r="C1236" i="2"/>
  <c r="B1237" i="2"/>
  <c r="C1237" i="2"/>
  <c r="B1238" i="2"/>
  <c r="C1238" i="2"/>
  <c r="B1239" i="2"/>
  <c r="C1239" i="2"/>
  <c r="B1240" i="2"/>
  <c r="C1240" i="2"/>
  <c r="B1241" i="2"/>
  <c r="C1241" i="2"/>
  <c r="B1242" i="2"/>
  <c r="C1242" i="2"/>
  <c r="B1243" i="2"/>
  <c r="C1243" i="2"/>
  <c r="B1244" i="2"/>
  <c r="C1244" i="2"/>
  <c r="B1245" i="2"/>
  <c r="C1245" i="2"/>
  <c r="B1246" i="2"/>
  <c r="C1246" i="2"/>
  <c r="B1247" i="2"/>
  <c r="C1247" i="2"/>
  <c r="B1248" i="2"/>
  <c r="C1248" i="2"/>
  <c r="B1249" i="2"/>
  <c r="C1249" i="2"/>
  <c r="B1250" i="2"/>
  <c r="C1250" i="2"/>
  <c r="B1251" i="2"/>
  <c r="C1251" i="2"/>
  <c r="B1252" i="2"/>
  <c r="C1252" i="2"/>
  <c r="B1253" i="2"/>
  <c r="C1253" i="2"/>
  <c r="B1254" i="2"/>
  <c r="C1254" i="2"/>
  <c r="B1255" i="2"/>
  <c r="C1255" i="2"/>
  <c r="B1256" i="2"/>
  <c r="C1256" i="2"/>
  <c r="B1257" i="2"/>
  <c r="C1257" i="2"/>
  <c r="B1258" i="2"/>
  <c r="C1258" i="2"/>
  <c r="B1259" i="2"/>
  <c r="C1259" i="2"/>
  <c r="B1260" i="2"/>
  <c r="C1260" i="2"/>
  <c r="B1261" i="2"/>
  <c r="C1261" i="2"/>
  <c r="B1262" i="2"/>
  <c r="C1262" i="2"/>
  <c r="B1263" i="2"/>
  <c r="C1263" i="2"/>
  <c r="B1264" i="2"/>
  <c r="C1264" i="2"/>
  <c r="B1265" i="2"/>
  <c r="C1265" i="2"/>
  <c r="B1266" i="2"/>
  <c r="C1266" i="2"/>
  <c r="B1267" i="2"/>
  <c r="C1267" i="2"/>
  <c r="B1268" i="2"/>
  <c r="C1268" i="2"/>
  <c r="B1269" i="2"/>
  <c r="C1269" i="2"/>
  <c r="B1270" i="2"/>
  <c r="C1270" i="2"/>
  <c r="B1271" i="2"/>
  <c r="C1271" i="2"/>
  <c r="B1272" i="2"/>
  <c r="C1272" i="2"/>
  <c r="B1273" i="2"/>
  <c r="C1273" i="2"/>
  <c r="B1274" i="2"/>
  <c r="C1274" i="2"/>
  <c r="B1275" i="2"/>
  <c r="C1275" i="2"/>
  <c r="B1276" i="2"/>
  <c r="C1276" i="2"/>
  <c r="B1277" i="2"/>
  <c r="C1277" i="2"/>
  <c r="B1278" i="2"/>
  <c r="C1278" i="2"/>
  <c r="B1279" i="2"/>
  <c r="C1279" i="2"/>
  <c r="B1280" i="2"/>
  <c r="C1280" i="2"/>
  <c r="B1281" i="2"/>
  <c r="C1281" i="2"/>
  <c r="B1282" i="2"/>
  <c r="C1282" i="2"/>
  <c r="B1283" i="2"/>
  <c r="C1283" i="2"/>
  <c r="B1284" i="2"/>
  <c r="C1284" i="2"/>
  <c r="B1285" i="2"/>
  <c r="C1285" i="2"/>
  <c r="B1286" i="2"/>
  <c r="C1286" i="2"/>
  <c r="B1287" i="2"/>
  <c r="C1287" i="2"/>
  <c r="B1288" i="2"/>
  <c r="C1288" i="2"/>
  <c r="B1289" i="2"/>
  <c r="C1289" i="2"/>
  <c r="B1290" i="2"/>
  <c r="C1290" i="2"/>
  <c r="B1291" i="2"/>
  <c r="C1291" i="2"/>
  <c r="B1292" i="2"/>
  <c r="C1292" i="2"/>
  <c r="B1293" i="2"/>
  <c r="C1293" i="2"/>
  <c r="B1294" i="2"/>
  <c r="C1294" i="2"/>
  <c r="B1295" i="2"/>
  <c r="C1295" i="2"/>
  <c r="B1296" i="2"/>
  <c r="C1296" i="2"/>
  <c r="B1297" i="2"/>
  <c r="C1297" i="2"/>
  <c r="B1298" i="2"/>
  <c r="C1298" i="2"/>
  <c r="B1299" i="2"/>
  <c r="C1299" i="2"/>
  <c r="B1300" i="2"/>
  <c r="C1300" i="2"/>
  <c r="B1301" i="2"/>
  <c r="C1301" i="2"/>
  <c r="B1302" i="2"/>
  <c r="C1302" i="2"/>
  <c r="B1303" i="2"/>
  <c r="C1303" i="2"/>
  <c r="B1304" i="2"/>
  <c r="C1304" i="2"/>
  <c r="B1305" i="2"/>
  <c r="C1305" i="2"/>
  <c r="B1306" i="2"/>
  <c r="C1306" i="2"/>
  <c r="B1307" i="2"/>
  <c r="C1307" i="2"/>
  <c r="B1308" i="2"/>
  <c r="C1308" i="2"/>
  <c r="B1309" i="2"/>
  <c r="C1309" i="2"/>
  <c r="B1310" i="2"/>
  <c r="C1310" i="2"/>
  <c r="B1311" i="2"/>
  <c r="C1311" i="2"/>
  <c r="B1312" i="2"/>
  <c r="C1312" i="2"/>
  <c r="B1313" i="2"/>
  <c r="C1313" i="2"/>
  <c r="B1314" i="2"/>
  <c r="C1314" i="2"/>
  <c r="B1315" i="2"/>
  <c r="C1315" i="2"/>
  <c r="B1316" i="2"/>
  <c r="C1316" i="2"/>
  <c r="B1317" i="2"/>
  <c r="C1317" i="2"/>
  <c r="B1318" i="2"/>
  <c r="C1318" i="2"/>
  <c r="B1319" i="2"/>
  <c r="C1319" i="2"/>
  <c r="B1320" i="2"/>
  <c r="C1320" i="2"/>
  <c r="B1321" i="2"/>
  <c r="C1321" i="2"/>
  <c r="B1322" i="2"/>
  <c r="C1322" i="2"/>
  <c r="B1323" i="2"/>
  <c r="C1323" i="2"/>
  <c r="B1324" i="2"/>
  <c r="C1324" i="2"/>
  <c r="B1325" i="2"/>
  <c r="C1325" i="2"/>
  <c r="B1326" i="2"/>
  <c r="C1326" i="2"/>
  <c r="B1327" i="2"/>
  <c r="C1327" i="2"/>
  <c r="B1328" i="2"/>
  <c r="C1328" i="2"/>
  <c r="B1329" i="2"/>
  <c r="C1329" i="2"/>
  <c r="B1330" i="2"/>
  <c r="C1330" i="2"/>
  <c r="B1331" i="2"/>
  <c r="C1331" i="2"/>
  <c r="B1332" i="2"/>
  <c r="C1332" i="2"/>
  <c r="B1333" i="2"/>
  <c r="C1333" i="2"/>
  <c r="B1334" i="2"/>
  <c r="C1334" i="2"/>
  <c r="B1335" i="2"/>
  <c r="C1335" i="2"/>
  <c r="B1336" i="2"/>
  <c r="C1336" i="2"/>
  <c r="B1337" i="2"/>
  <c r="C1337" i="2"/>
  <c r="B1338" i="2"/>
  <c r="C1338" i="2"/>
  <c r="B1339" i="2"/>
  <c r="C1339" i="2"/>
  <c r="B1340" i="2"/>
  <c r="C1340" i="2"/>
  <c r="B1341" i="2"/>
  <c r="C1341" i="2"/>
  <c r="B1342" i="2"/>
  <c r="C1342" i="2"/>
  <c r="B1343" i="2"/>
  <c r="C1343" i="2"/>
  <c r="B1344" i="2"/>
  <c r="C1344" i="2"/>
  <c r="B1345" i="2"/>
  <c r="C1345" i="2"/>
  <c r="B1346" i="2"/>
  <c r="C1346" i="2"/>
  <c r="B1347" i="2"/>
  <c r="C1347" i="2"/>
  <c r="B1348" i="2"/>
  <c r="C1348" i="2"/>
  <c r="B1349" i="2"/>
  <c r="C1349" i="2"/>
  <c r="B1350" i="2"/>
  <c r="C1350" i="2"/>
  <c r="B1351" i="2"/>
  <c r="C1351" i="2"/>
  <c r="B1352" i="2"/>
  <c r="C1352" i="2"/>
  <c r="B1353" i="2"/>
  <c r="C1353" i="2"/>
  <c r="B1354" i="2"/>
  <c r="C1354" i="2"/>
  <c r="B1355" i="2"/>
  <c r="C1355" i="2"/>
  <c r="B1356" i="2"/>
  <c r="C1356" i="2"/>
  <c r="B1357" i="2"/>
  <c r="C1357" i="2"/>
  <c r="B1358" i="2"/>
  <c r="C1358" i="2"/>
  <c r="B1359" i="2"/>
  <c r="C1359" i="2"/>
  <c r="B1360" i="2"/>
  <c r="C1360" i="2"/>
  <c r="B1361" i="2"/>
  <c r="C1361" i="2"/>
  <c r="B1362" i="2"/>
  <c r="C1362" i="2"/>
  <c r="B1363" i="2"/>
  <c r="C1363" i="2"/>
  <c r="B1364" i="2"/>
  <c r="C1364" i="2"/>
  <c r="B1365" i="2"/>
  <c r="C1365" i="2"/>
  <c r="B1366" i="2"/>
  <c r="C1366" i="2"/>
  <c r="B1367" i="2"/>
  <c r="C1367" i="2"/>
  <c r="B1368" i="2"/>
  <c r="C1368" i="2"/>
  <c r="B1369" i="2"/>
  <c r="C1369" i="2"/>
  <c r="B1370" i="2"/>
  <c r="C1370" i="2"/>
  <c r="B1371" i="2"/>
  <c r="C1371" i="2"/>
  <c r="B1372" i="2"/>
  <c r="C1372" i="2"/>
  <c r="B1373" i="2"/>
  <c r="C1373" i="2"/>
  <c r="B1374" i="2"/>
  <c r="C1374" i="2"/>
  <c r="B1375" i="2"/>
  <c r="C1375" i="2"/>
  <c r="B1376" i="2"/>
  <c r="C1376" i="2"/>
  <c r="B1377" i="2"/>
  <c r="C1377" i="2"/>
  <c r="B1378" i="2"/>
  <c r="C1378" i="2"/>
  <c r="B1379" i="2"/>
  <c r="C1379" i="2"/>
  <c r="B1380" i="2"/>
  <c r="C1380" i="2"/>
  <c r="B1381" i="2"/>
  <c r="C1381" i="2"/>
  <c r="B1382" i="2"/>
  <c r="C1382" i="2"/>
  <c r="B1383" i="2"/>
  <c r="C1383" i="2"/>
  <c r="B1384" i="2"/>
  <c r="C1384" i="2"/>
  <c r="B1385" i="2"/>
  <c r="C1385" i="2"/>
  <c r="B1386" i="2"/>
  <c r="C1386" i="2"/>
  <c r="B1387" i="2"/>
  <c r="C1387" i="2"/>
  <c r="B1388" i="2"/>
  <c r="C1388" i="2"/>
  <c r="B1389" i="2"/>
  <c r="C1389" i="2"/>
  <c r="B1390" i="2"/>
  <c r="C1390" i="2"/>
  <c r="B1391" i="2"/>
  <c r="C1391" i="2"/>
  <c r="B1392" i="2"/>
  <c r="C1392" i="2"/>
  <c r="B1393" i="2"/>
  <c r="C1393" i="2"/>
  <c r="B1394" i="2"/>
  <c r="C1394" i="2"/>
  <c r="B1395" i="2"/>
  <c r="C1395" i="2"/>
  <c r="B1396" i="2"/>
  <c r="C1396" i="2"/>
  <c r="B1397" i="2"/>
  <c r="C1397" i="2"/>
  <c r="B1398" i="2"/>
  <c r="C1398" i="2"/>
  <c r="B1399" i="2"/>
  <c r="C1399" i="2"/>
  <c r="B1400" i="2"/>
  <c r="C1400" i="2"/>
  <c r="B1401" i="2"/>
  <c r="C1401" i="2"/>
  <c r="B1402" i="2"/>
  <c r="C1402" i="2"/>
  <c r="B1403" i="2"/>
  <c r="C1403" i="2"/>
  <c r="B1404" i="2"/>
  <c r="C1404" i="2"/>
  <c r="B1405" i="2"/>
  <c r="C1405" i="2"/>
  <c r="B1406" i="2"/>
  <c r="C1406" i="2"/>
  <c r="B1407" i="2"/>
  <c r="C1407" i="2"/>
  <c r="B1408" i="2"/>
  <c r="C1408" i="2"/>
  <c r="B1409" i="2"/>
  <c r="C1409" i="2"/>
  <c r="B1410" i="2"/>
  <c r="C1410" i="2"/>
  <c r="B1411" i="2"/>
  <c r="C1411" i="2"/>
  <c r="B1412" i="2"/>
  <c r="C1412" i="2"/>
  <c r="B1413" i="2"/>
  <c r="C1413" i="2"/>
  <c r="B1414" i="2"/>
  <c r="C1414" i="2"/>
  <c r="B1415" i="2"/>
  <c r="C1415" i="2"/>
  <c r="B1416" i="2"/>
  <c r="C1416" i="2"/>
  <c r="B1417" i="2"/>
  <c r="C1417" i="2"/>
  <c r="B1418" i="2"/>
  <c r="C1418" i="2"/>
  <c r="B1419" i="2"/>
  <c r="C1419" i="2"/>
  <c r="B1420" i="2"/>
  <c r="C1420" i="2"/>
  <c r="B1421" i="2"/>
  <c r="C1421" i="2"/>
  <c r="B1422" i="2"/>
  <c r="C1422" i="2"/>
  <c r="B1423" i="2"/>
  <c r="C1423" i="2"/>
  <c r="B1424" i="2"/>
  <c r="C1424" i="2"/>
  <c r="B1425" i="2"/>
  <c r="C1425" i="2"/>
  <c r="B1426" i="2"/>
  <c r="C1426" i="2"/>
  <c r="B1427" i="2"/>
  <c r="C1427" i="2"/>
  <c r="B1428" i="2"/>
  <c r="C1428" i="2"/>
  <c r="B1429" i="2"/>
  <c r="C1429" i="2"/>
  <c r="B1430" i="2"/>
  <c r="C1430" i="2"/>
  <c r="B1431" i="2"/>
  <c r="C1431" i="2"/>
  <c r="B1432" i="2"/>
  <c r="C1432" i="2"/>
  <c r="B1433" i="2"/>
  <c r="C1433" i="2"/>
  <c r="B1434" i="2"/>
  <c r="C1434" i="2"/>
  <c r="B1435" i="2"/>
  <c r="C1435" i="2"/>
  <c r="B1436" i="2"/>
  <c r="C1436" i="2"/>
  <c r="B1437" i="2"/>
  <c r="C1437" i="2"/>
  <c r="B1438" i="2"/>
  <c r="C1438" i="2"/>
  <c r="B1439" i="2"/>
  <c r="C1439" i="2"/>
  <c r="B1440" i="2"/>
  <c r="C1440" i="2"/>
  <c r="B1441" i="2"/>
  <c r="C1441" i="2"/>
  <c r="B1442" i="2"/>
  <c r="C1442" i="2"/>
  <c r="B1443" i="2"/>
  <c r="C1443" i="2"/>
  <c r="B1444" i="2"/>
  <c r="C1444" i="2"/>
  <c r="B1445" i="2"/>
  <c r="C1445" i="2"/>
  <c r="B1446" i="2"/>
  <c r="C1446" i="2"/>
  <c r="B1447" i="2"/>
  <c r="C1447" i="2"/>
  <c r="B1448" i="2"/>
  <c r="C1448" i="2"/>
  <c r="B1449" i="2"/>
  <c r="C1449" i="2"/>
  <c r="B1450" i="2"/>
  <c r="C1450" i="2"/>
  <c r="B1451" i="2"/>
  <c r="C1451" i="2"/>
  <c r="B1452" i="2"/>
  <c r="C1452" i="2"/>
  <c r="B1453" i="2"/>
  <c r="C1453" i="2"/>
  <c r="B1454" i="2"/>
  <c r="C1454" i="2"/>
  <c r="B1455" i="2"/>
  <c r="C1455" i="2"/>
  <c r="B1456" i="2"/>
  <c r="C1456" i="2"/>
  <c r="B1457" i="2"/>
  <c r="C1457" i="2"/>
  <c r="B1458" i="2"/>
  <c r="C1458" i="2"/>
  <c r="B1459" i="2"/>
  <c r="C1459" i="2"/>
  <c r="B1460" i="2"/>
  <c r="C1460" i="2"/>
  <c r="B1461" i="2"/>
  <c r="C1461" i="2"/>
  <c r="B1462" i="2"/>
  <c r="C1462" i="2"/>
  <c r="B1463" i="2"/>
  <c r="C1463" i="2"/>
  <c r="B1464" i="2"/>
  <c r="C1464" i="2"/>
  <c r="B1465" i="2"/>
  <c r="C1465" i="2"/>
  <c r="B1466" i="2"/>
  <c r="C1466" i="2"/>
  <c r="B1467" i="2"/>
  <c r="C1467" i="2"/>
  <c r="B1468" i="2"/>
  <c r="C1468" i="2"/>
  <c r="B1469" i="2"/>
  <c r="C1469" i="2"/>
  <c r="B1470" i="2"/>
  <c r="C1470" i="2"/>
  <c r="B1471" i="2"/>
  <c r="C1471" i="2"/>
  <c r="B1472" i="2"/>
  <c r="C1472" i="2"/>
  <c r="B1473" i="2"/>
  <c r="C1473" i="2"/>
  <c r="B1474" i="2"/>
  <c r="C1474" i="2"/>
  <c r="B1475" i="2"/>
  <c r="C1475" i="2"/>
  <c r="B1476" i="2"/>
  <c r="C1476" i="2"/>
  <c r="B1477" i="2"/>
  <c r="C1477" i="2"/>
  <c r="B1478" i="2"/>
  <c r="C1478" i="2"/>
  <c r="B1479" i="2"/>
  <c r="C1479" i="2"/>
  <c r="B1480" i="2"/>
  <c r="C1480" i="2"/>
  <c r="B1481" i="2"/>
  <c r="C1481" i="2"/>
  <c r="B1482" i="2"/>
  <c r="C1482" i="2"/>
  <c r="B1483" i="2"/>
  <c r="C1483" i="2"/>
  <c r="B1484" i="2"/>
  <c r="C1484" i="2"/>
  <c r="B1485" i="2"/>
  <c r="C1485" i="2"/>
  <c r="B1486" i="2"/>
  <c r="C1486" i="2"/>
  <c r="B1487" i="2"/>
  <c r="C1487" i="2"/>
  <c r="B1488" i="2"/>
  <c r="C1488" i="2"/>
  <c r="B1489" i="2"/>
  <c r="C1489" i="2"/>
  <c r="B1490" i="2"/>
  <c r="C1490" i="2"/>
  <c r="B1491" i="2"/>
  <c r="C1491" i="2"/>
  <c r="B1492" i="2"/>
  <c r="C1492" i="2"/>
  <c r="B1493" i="2"/>
  <c r="C1493" i="2"/>
  <c r="B1494" i="2"/>
  <c r="C1494" i="2"/>
  <c r="B1495" i="2"/>
  <c r="C1495" i="2"/>
  <c r="B1496" i="2"/>
  <c r="C1496" i="2"/>
  <c r="B1497" i="2"/>
  <c r="C1497" i="2"/>
  <c r="B1498" i="2"/>
  <c r="C1498" i="2"/>
  <c r="B1499" i="2"/>
  <c r="C1499" i="2"/>
  <c r="B1500" i="2"/>
  <c r="C1500" i="2"/>
  <c r="B1501" i="2"/>
  <c r="C1501" i="2"/>
  <c r="B1502" i="2"/>
  <c r="C1502" i="2"/>
  <c r="B1503" i="2"/>
  <c r="C1503" i="2"/>
  <c r="B1504" i="2"/>
  <c r="C1504" i="2"/>
  <c r="B1505" i="2"/>
  <c r="C1505" i="2"/>
  <c r="B1506" i="2"/>
  <c r="C1506" i="2"/>
  <c r="B1507" i="2"/>
  <c r="C1507" i="2"/>
  <c r="B1508" i="2"/>
  <c r="C1508" i="2"/>
  <c r="B1509" i="2"/>
  <c r="C1509" i="2"/>
  <c r="B1510" i="2"/>
  <c r="C1510" i="2"/>
  <c r="B1511" i="2"/>
  <c r="C1511" i="2"/>
  <c r="B1512" i="2"/>
  <c r="C1512" i="2"/>
  <c r="B1513" i="2"/>
  <c r="C1513" i="2"/>
  <c r="B1514" i="2"/>
  <c r="C1514" i="2"/>
  <c r="B1515" i="2"/>
  <c r="C1515" i="2"/>
  <c r="B1516" i="2"/>
  <c r="C1516" i="2"/>
  <c r="B1517" i="2"/>
  <c r="C1517" i="2"/>
  <c r="B1518" i="2"/>
  <c r="C1518" i="2"/>
  <c r="B1519" i="2"/>
  <c r="C1519" i="2"/>
  <c r="B1520" i="2"/>
  <c r="C1520" i="2"/>
  <c r="B1521" i="2"/>
  <c r="C1521" i="2"/>
  <c r="B1522" i="2"/>
  <c r="C1522" i="2"/>
  <c r="B1523" i="2"/>
  <c r="C1523" i="2"/>
  <c r="B1524" i="2"/>
  <c r="C1524" i="2"/>
  <c r="B1525" i="2"/>
  <c r="C1525" i="2"/>
  <c r="B1526" i="2"/>
  <c r="C1526" i="2"/>
  <c r="B1527" i="2"/>
  <c r="C1527" i="2"/>
  <c r="B1528" i="2"/>
  <c r="C1528" i="2"/>
  <c r="B1529" i="2"/>
  <c r="C1529" i="2"/>
  <c r="B1530" i="2"/>
  <c r="C1530" i="2"/>
  <c r="B1531" i="2"/>
  <c r="C1531" i="2"/>
  <c r="B1532" i="2"/>
  <c r="C1532" i="2"/>
  <c r="B1533" i="2"/>
  <c r="C1533" i="2"/>
  <c r="B1534" i="2"/>
  <c r="C1534" i="2"/>
  <c r="B1535" i="2"/>
  <c r="C1535" i="2"/>
  <c r="B1536" i="2"/>
  <c r="C1536" i="2"/>
  <c r="B1537" i="2"/>
  <c r="C1537" i="2"/>
  <c r="B1538" i="2"/>
  <c r="C1538" i="2"/>
  <c r="B1539" i="2"/>
  <c r="C1539" i="2"/>
  <c r="B1540" i="2"/>
  <c r="C1540" i="2"/>
  <c r="B1541" i="2"/>
  <c r="C1541" i="2"/>
  <c r="B1542" i="2"/>
  <c r="C1542" i="2"/>
  <c r="B1543" i="2"/>
  <c r="C1543" i="2"/>
  <c r="B1544" i="2"/>
  <c r="C1544" i="2"/>
  <c r="B1545" i="2"/>
  <c r="C1545" i="2"/>
  <c r="B1546" i="2"/>
  <c r="C1546" i="2"/>
  <c r="B1547" i="2"/>
  <c r="C1547" i="2"/>
  <c r="B1548" i="2"/>
  <c r="C1548" i="2"/>
  <c r="B1549" i="2"/>
  <c r="C1549" i="2"/>
  <c r="B1550" i="2"/>
  <c r="C1550" i="2"/>
  <c r="B1551" i="2"/>
  <c r="C1551" i="2"/>
  <c r="B1552" i="2"/>
  <c r="C1552" i="2"/>
  <c r="B1553" i="2"/>
  <c r="C1553" i="2"/>
  <c r="B1554" i="2"/>
  <c r="C1554" i="2"/>
  <c r="B1555" i="2"/>
  <c r="C1555" i="2"/>
  <c r="B1556" i="2"/>
  <c r="C1556" i="2"/>
  <c r="B1557" i="2"/>
  <c r="C1557" i="2"/>
  <c r="B1558" i="2"/>
  <c r="C1558" i="2"/>
  <c r="B1559" i="2"/>
  <c r="C1559" i="2"/>
  <c r="B1560" i="2"/>
  <c r="C1560" i="2"/>
  <c r="B1561" i="2"/>
  <c r="C1561" i="2"/>
  <c r="B1562" i="2"/>
  <c r="C1562" i="2"/>
  <c r="B1563" i="2"/>
  <c r="C1563" i="2"/>
  <c r="B1564" i="2"/>
  <c r="C1564" i="2"/>
  <c r="B1565" i="2"/>
  <c r="C1565" i="2"/>
  <c r="B1566" i="2"/>
  <c r="C1566" i="2"/>
  <c r="B1567" i="2"/>
  <c r="C1567" i="2"/>
  <c r="B1568" i="2"/>
  <c r="C1568" i="2"/>
  <c r="B1569" i="2"/>
  <c r="C1569" i="2"/>
  <c r="B1570" i="2"/>
  <c r="C1570" i="2"/>
  <c r="B1571" i="2"/>
  <c r="C1571" i="2"/>
  <c r="B1572" i="2"/>
  <c r="C1572" i="2"/>
  <c r="B1573" i="2"/>
  <c r="C1573" i="2"/>
  <c r="B1574" i="2"/>
  <c r="C1574" i="2"/>
  <c r="B1575" i="2"/>
  <c r="C1575" i="2"/>
  <c r="B1576" i="2"/>
  <c r="C1576" i="2"/>
  <c r="B1577" i="2"/>
  <c r="C1577" i="2"/>
  <c r="B1578" i="2"/>
  <c r="C1578" i="2"/>
  <c r="B1579" i="2"/>
  <c r="C1579" i="2"/>
  <c r="B1580" i="2"/>
  <c r="C1580" i="2"/>
  <c r="B1581" i="2"/>
  <c r="C1581" i="2"/>
  <c r="B1582" i="2"/>
  <c r="C1582" i="2"/>
  <c r="B1583" i="2"/>
  <c r="C1583" i="2"/>
  <c r="B1584" i="2"/>
  <c r="C1584" i="2"/>
  <c r="B1585" i="2"/>
  <c r="C1585" i="2"/>
  <c r="B1586" i="2"/>
  <c r="C1586" i="2"/>
  <c r="B1587" i="2"/>
  <c r="C1587" i="2"/>
  <c r="B1588" i="2"/>
  <c r="C1588" i="2"/>
  <c r="B1589" i="2"/>
  <c r="C1589" i="2"/>
  <c r="B1590" i="2"/>
  <c r="C1590" i="2"/>
  <c r="B1591" i="2"/>
  <c r="C1591" i="2"/>
  <c r="B1592" i="2"/>
  <c r="C1592" i="2"/>
  <c r="B1593" i="2"/>
  <c r="C1593" i="2"/>
  <c r="B1594" i="2"/>
  <c r="C1594" i="2"/>
  <c r="B1595" i="2"/>
  <c r="C1595" i="2"/>
  <c r="B1596" i="2"/>
  <c r="C1596" i="2"/>
  <c r="B1597" i="2"/>
  <c r="C1597" i="2"/>
  <c r="B1598" i="2"/>
  <c r="C1598" i="2"/>
  <c r="B1599" i="2"/>
  <c r="C1599" i="2"/>
  <c r="B1600" i="2"/>
  <c r="C1600" i="2"/>
  <c r="B1601" i="2"/>
  <c r="C1601" i="2"/>
  <c r="B1602" i="2"/>
  <c r="C1602" i="2"/>
  <c r="B1603" i="2"/>
  <c r="C1603" i="2"/>
  <c r="B1604" i="2"/>
  <c r="C1604" i="2"/>
  <c r="B1605" i="2"/>
  <c r="C1605" i="2"/>
  <c r="B1606" i="2"/>
  <c r="C1606" i="2"/>
  <c r="B1607" i="2"/>
  <c r="C1607" i="2"/>
  <c r="B1608" i="2"/>
  <c r="C1608" i="2"/>
  <c r="B1609" i="2"/>
  <c r="C1609" i="2"/>
  <c r="B1610" i="2"/>
  <c r="C1610" i="2"/>
  <c r="B1611" i="2"/>
  <c r="C1611" i="2"/>
  <c r="B1612" i="2"/>
  <c r="C1612" i="2"/>
  <c r="B1613" i="2"/>
  <c r="C1613" i="2"/>
  <c r="B1614" i="2"/>
  <c r="C1614" i="2"/>
  <c r="B1615" i="2"/>
  <c r="C1615" i="2"/>
  <c r="B1616" i="2"/>
  <c r="C1616" i="2"/>
  <c r="B1617" i="2"/>
  <c r="C1617" i="2"/>
  <c r="B1618" i="2"/>
  <c r="C1618" i="2"/>
  <c r="B1619" i="2"/>
  <c r="C1619" i="2"/>
  <c r="B1620" i="2"/>
  <c r="C1620" i="2"/>
  <c r="B1621" i="2"/>
  <c r="C1621" i="2"/>
  <c r="B1622" i="2"/>
  <c r="C1622" i="2"/>
  <c r="B1623" i="2"/>
  <c r="C1623" i="2"/>
  <c r="B1624" i="2"/>
  <c r="C1624" i="2"/>
  <c r="B1625" i="2"/>
  <c r="C1625" i="2"/>
  <c r="B1626" i="2"/>
  <c r="C1626" i="2"/>
  <c r="B1627" i="2"/>
  <c r="C1627" i="2"/>
  <c r="B1628" i="2"/>
  <c r="C1628" i="2"/>
  <c r="B1629" i="2"/>
  <c r="C1629" i="2"/>
  <c r="B1630" i="2"/>
  <c r="C1630" i="2"/>
  <c r="B1631" i="2"/>
  <c r="C1631" i="2"/>
  <c r="B1632" i="2"/>
  <c r="C1632" i="2"/>
  <c r="B1633" i="2"/>
  <c r="C1633" i="2"/>
  <c r="B1634" i="2"/>
  <c r="C1634" i="2"/>
  <c r="B1635" i="2"/>
  <c r="C1635" i="2"/>
  <c r="B1636" i="2"/>
  <c r="C1636" i="2"/>
  <c r="B1637" i="2"/>
  <c r="C1637" i="2"/>
  <c r="B1638" i="2"/>
  <c r="C1638" i="2"/>
  <c r="B1639" i="2"/>
  <c r="C1639" i="2"/>
  <c r="B1640" i="2"/>
  <c r="C1640" i="2"/>
  <c r="B1641" i="2"/>
  <c r="C1641" i="2"/>
  <c r="B1642" i="2"/>
  <c r="C1642" i="2"/>
  <c r="B1643" i="2"/>
  <c r="C1643" i="2"/>
  <c r="B1644" i="2"/>
  <c r="C1644" i="2"/>
  <c r="B1645" i="2"/>
  <c r="C1645" i="2"/>
  <c r="B1646" i="2"/>
  <c r="C1646" i="2"/>
  <c r="B1647" i="2"/>
  <c r="C1647" i="2"/>
  <c r="B1648" i="2"/>
  <c r="C1648" i="2"/>
  <c r="B1649" i="2"/>
  <c r="C1649" i="2"/>
  <c r="B1650" i="2"/>
  <c r="C1650" i="2"/>
  <c r="B1651" i="2"/>
  <c r="C1651" i="2"/>
  <c r="B1652" i="2"/>
  <c r="C1652" i="2"/>
  <c r="B1653" i="2"/>
  <c r="C1653" i="2"/>
  <c r="B1654" i="2"/>
  <c r="C1654" i="2"/>
  <c r="B1655" i="2"/>
  <c r="C1655" i="2"/>
  <c r="B1656" i="2"/>
  <c r="C1656" i="2"/>
  <c r="B1657" i="2"/>
  <c r="C1657" i="2"/>
  <c r="B1658" i="2"/>
  <c r="C1658" i="2"/>
  <c r="B1659" i="2"/>
  <c r="C1659" i="2"/>
  <c r="B1660" i="2"/>
  <c r="C1660" i="2"/>
  <c r="B1661" i="2"/>
  <c r="C1661" i="2"/>
  <c r="B1662" i="2"/>
  <c r="C1662" i="2"/>
  <c r="B1663" i="2"/>
  <c r="C1663" i="2"/>
  <c r="B1664" i="2"/>
  <c r="C1664" i="2"/>
  <c r="B1665" i="2"/>
  <c r="C1665" i="2"/>
  <c r="B1666" i="2"/>
  <c r="C1666" i="2"/>
  <c r="B1667" i="2"/>
  <c r="C1667" i="2"/>
  <c r="B1668" i="2"/>
  <c r="C1668" i="2"/>
  <c r="B1669" i="2"/>
  <c r="C1669" i="2"/>
  <c r="B1670" i="2"/>
  <c r="C1670" i="2"/>
  <c r="B1671" i="2"/>
  <c r="C1671" i="2"/>
  <c r="B1672" i="2"/>
  <c r="C1672" i="2"/>
  <c r="B1673" i="2"/>
  <c r="C1673" i="2"/>
  <c r="B1674" i="2"/>
  <c r="C1674" i="2"/>
  <c r="B1675" i="2"/>
  <c r="C1675" i="2"/>
  <c r="B1676" i="2"/>
  <c r="C1676" i="2"/>
  <c r="B1677" i="2"/>
  <c r="C1677" i="2"/>
  <c r="B1678" i="2"/>
  <c r="C1678" i="2"/>
  <c r="B1679" i="2"/>
  <c r="C1679" i="2"/>
  <c r="B1680" i="2"/>
  <c r="C1680" i="2"/>
  <c r="B1681" i="2"/>
  <c r="C1681" i="2"/>
  <c r="B1682" i="2"/>
  <c r="C1682" i="2"/>
  <c r="B1683" i="2"/>
  <c r="C1683" i="2"/>
  <c r="B1684" i="2"/>
  <c r="C1684" i="2"/>
  <c r="B1685" i="2"/>
  <c r="C1685" i="2"/>
  <c r="B1686" i="2"/>
  <c r="C1686" i="2"/>
  <c r="B1687" i="2"/>
  <c r="C1687" i="2"/>
  <c r="B1688" i="2"/>
  <c r="C1688" i="2"/>
  <c r="B1689" i="2"/>
  <c r="C1689" i="2"/>
  <c r="B1690" i="2"/>
  <c r="C1690" i="2"/>
  <c r="B1691" i="2"/>
  <c r="C1691" i="2"/>
  <c r="B1692" i="2"/>
  <c r="C1692" i="2"/>
  <c r="B1693" i="2"/>
  <c r="C1693" i="2"/>
  <c r="B1694" i="2"/>
  <c r="C1694" i="2"/>
  <c r="B1695" i="2"/>
  <c r="C1695" i="2"/>
  <c r="B1696" i="2"/>
  <c r="C1696" i="2"/>
  <c r="B1697" i="2"/>
  <c r="C1697" i="2"/>
  <c r="B1698" i="2"/>
  <c r="C1698" i="2"/>
  <c r="B1699" i="2"/>
  <c r="C1699" i="2"/>
  <c r="B1700" i="2"/>
  <c r="C1700" i="2"/>
  <c r="B1701" i="2"/>
  <c r="C1701" i="2"/>
  <c r="B1702" i="2"/>
  <c r="C1702" i="2"/>
  <c r="B1703" i="2"/>
  <c r="C1703" i="2"/>
  <c r="B1704" i="2"/>
  <c r="C1704" i="2"/>
  <c r="B1705" i="2"/>
  <c r="C1705" i="2"/>
  <c r="B1706" i="2"/>
  <c r="C1706" i="2"/>
  <c r="B1707" i="2"/>
  <c r="C1707" i="2"/>
  <c r="B1708" i="2"/>
  <c r="C1708" i="2"/>
  <c r="B1709" i="2"/>
  <c r="C1709" i="2"/>
  <c r="B1710" i="2"/>
  <c r="C1710" i="2"/>
  <c r="B1711" i="2"/>
  <c r="C1711" i="2"/>
  <c r="B1712" i="2"/>
  <c r="C1712" i="2"/>
  <c r="B1713" i="2"/>
  <c r="C1713" i="2"/>
  <c r="B1714" i="2"/>
  <c r="C1714" i="2"/>
  <c r="B1715" i="2"/>
  <c r="C1715" i="2"/>
  <c r="B1716" i="2"/>
  <c r="C1716" i="2"/>
  <c r="B1717" i="2"/>
  <c r="C1717" i="2"/>
  <c r="B1718" i="2"/>
  <c r="C1718" i="2"/>
  <c r="B1719" i="2"/>
  <c r="C1719" i="2"/>
  <c r="B1720" i="2"/>
  <c r="C1720" i="2"/>
  <c r="B1721" i="2"/>
  <c r="C1721" i="2"/>
  <c r="B1722" i="2"/>
  <c r="C1722" i="2"/>
  <c r="B1723" i="2"/>
  <c r="C1723" i="2"/>
  <c r="B1724" i="2"/>
  <c r="C1724" i="2"/>
  <c r="B1725" i="2"/>
  <c r="C1725" i="2"/>
  <c r="B1726" i="2"/>
  <c r="C1726" i="2"/>
  <c r="B1727" i="2"/>
  <c r="C1727" i="2"/>
  <c r="B1728" i="2"/>
  <c r="C1728" i="2"/>
  <c r="B1729" i="2"/>
  <c r="C1729" i="2"/>
  <c r="B1730" i="2"/>
  <c r="C1730" i="2"/>
  <c r="B1731" i="2"/>
  <c r="C1731" i="2"/>
  <c r="B1732" i="2"/>
  <c r="C1732" i="2"/>
  <c r="B1733" i="2"/>
  <c r="C1733" i="2"/>
  <c r="B1734" i="2"/>
  <c r="C1734" i="2"/>
  <c r="B1735" i="2"/>
  <c r="C1735" i="2"/>
  <c r="B1736" i="2"/>
  <c r="C1736" i="2"/>
  <c r="B1737" i="2"/>
  <c r="C1737" i="2"/>
  <c r="B1738" i="2"/>
  <c r="C1738" i="2"/>
  <c r="B1739" i="2"/>
  <c r="C1739" i="2"/>
  <c r="B1740" i="2"/>
  <c r="C1740" i="2"/>
  <c r="B1741" i="2"/>
  <c r="C1741" i="2"/>
  <c r="B1742" i="2"/>
  <c r="C1742" i="2"/>
  <c r="B1743" i="2"/>
  <c r="C1743" i="2"/>
  <c r="B1744" i="2"/>
  <c r="C1744" i="2"/>
  <c r="B1745" i="2"/>
  <c r="C1745" i="2"/>
  <c r="B1746" i="2"/>
  <c r="C1746" i="2"/>
  <c r="B1747" i="2"/>
  <c r="C1747" i="2"/>
  <c r="B1748" i="2"/>
  <c r="C1748" i="2"/>
  <c r="B1749" i="2"/>
  <c r="C1749" i="2"/>
  <c r="B1750" i="2"/>
  <c r="C1750" i="2"/>
  <c r="B1751" i="2"/>
  <c r="C1751" i="2"/>
  <c r="B1752" i="2"/>
  <c r="C1752" i="2"/>
  <c r="B1753" i="2"/>
  <c r="C1753" i="2"/>
  <c r="B1754" i="2"/>
  <c r="C1754" i="2"/>
  <c r="B1755" i="2"/>
  <c r="C1755" i="2"/>
  <c r="B1756" i="2"/>
  <c r="C1756" i="2"/>
  <c r="B1757" i="2"/>
  <c r="C1757" i="2"/>
  <c r="B1758" i="2"/>
  <c r="C1758" i="2"/>
  <c r="B1759" i="2"/>
  <c r="C1759" i="2"/>
  <c r="B1760" i="2"/>
  <c r="C1760" i="2"/>
  <c r="B1761" i="2"/>
  <c r="C1761" i="2"/>
  <c r="B1762" i="2"/>
  <c r="C1762" i="2"/>
  <c r="B1763" i="2"/>
  <c r="C1763" i="2"/>
  <c r="B1764" i="2"/>
  <c r="C1764" i="2"/>
  <c r="B1765" i="2"/>
  <c r="C1765" i="2"/>
  <c r="B1766" i="2"/>
  <c r="C1766" i="2"/>
  <c r="B1767" i="2"/>
  <c r="C1767" i="2"/>
  <c r="B1768" i="2"/>
  <c r="C1768" i="2"/>
  <c r="B1769" i="2"/>
  <c r="C1769" i="2"/>
  <c r="B1770" i="2"/>
  <c r="C1770" i="2"/>
  <c r="B1771" i="2"/>
  <c r="C1771" i="2"/>
  <c r="B1772" i="2"/>
  <c r="C1772" i="2"/>
  <c r="B1773" i="2"/>
  <c r="C1773" i="2"/>
  <c r="B1774" i="2"/>
  <c r="C1774" i="2"/>
  <c r="B1775" i="2"/>
  <c r="C1775" i="2"/>
  <c r="B1776" i="2"/>
  <c r="C1776" i="2"/>
  <c r="B1777" i="2"/>
  <c r="C1777" i="2"/>
  <c r="B1778" i="2"/>
  <c r="C1778" i="2"/>
  <c r="B1779" i="2"/>
  <c r="C1779" i="2"/>
  <c r="B1780" i="2"/>
  <c r="C1780" i="2"/>
  <c r="B1781" i="2"/>
  <c r="C1781" i="2"/>
  <c r="B1782" i="2"/>
  <c r="C1782" i="2"/>
  <c r="B1783" i="2"/>
  <c r="C1783" i="2"/>
  <c r="B1784" i="2"/>
  <c r="C1784" i="2"/>
  <c r="B1785" i="2"/>
  <c r="C1785" i="2"/>
  <c r="B1786" i="2"/>
  <c r="C1786" i="2"/>
  <c r="B1787" i="2"/>
  <c r="C1787" i="2"/>
  <c r="B1788" i="2"/>
  <c r="C1788" i="2"/>
  <c r="B1789" i="2"/>
  <c r="C1789" i="2"/>
  <c r="B1790" i="2"/>
  <c r="C1790" i="2"/>
  <c r="B1791" i="2"/>
  <c r="C1791" i="2"/>
  <c r="B1792" i="2"/>
  <c r="C1792" i="2"/>
  <c r="B1793" i="2"/>
  <c r="C1793" i="2"/>
  <c r="B1794" i="2"/>
  <c r="C1794" i="2"/>
  <c r="B1795" i="2"/>
  <c r="C1795" i="2"/>
  <c r="B1796" i="2"/>
  <c r="C1796" i="2"/>
  <c r="B1797" i="2"/>
  <c r="C1797" i="2"/>
  <c r="B1798" i="2"/>
  <c r="C1798" i="2"/>
  <c r="B1799" i="2"/>
  <c r="C1799" i="2"/>
  <c r="B1800" i="2"/>
  <c r="C1800" i="2"/>
  <c r="B1801" i="2"/>
  <c r="C1801" i="2"/>
  <c r="B1802" i="2"/>
  <c r="C1802" i="2"/>
  <c r="B1803" i="2"/>
  <c r="C1803" i="2"/>
  <c r="B1804" i="2"/>
  <c r="C1804" i="2"/>
  <c r="B1805" i="2"/>
  <c r="C1805" i="2"/>
  <c r="B1806" i="2"/>
  <c r="C1806" i="2"/>
  <c r="B1807" i="2"/>
  <c r="C1807" i="2"/>
  <c r="B1808" i="2"/>
  <c r="C1808" i="2"/>
  <c r="B1809" i="2"/>
  <c r="C1809" i="2"/>
  <c r="B1810" i="2"/>
  <c r="C1810" i="2"/>
  <c r="B1811" i="2"/>
  <c r="C1811" i="2"/>
  <c r="B1812" i="2"/>
  <c r="C1812" i="2"/>
  <c r="B1813" i="2"/>
  <c r="C1813" i="2"/>
  <c r="B1814" i="2"/>
  <c r="C1814" i="2"/>
  <c r="B1815" i="2"/>
  <c r="C1815" i="2"/>
  <c r="B1816" i="2"/>
  <c r="C1816" i="2"/>
  <c r="B1817" i="2"/>
  <c r="C1817" i="2"/>
  <c r="B1818" i="2"/>
  <c r="C1818" i="2"/>
  <c r="B1819" i="2"/>
  <c r="C1819" i="2"/>
  <c r="B1820" i="2"/>
  <c r="C1820" i="2"/>
  <c r="B1821" i="2"/>
  <c r="C1821" i="2"/>
  <c r="B1822" i="2"/>
  <c r="C1822" i="2"/>
  <c r="B1823" i="2"/>
  <c r="C1823" i="2"/>
  <c r="Z1822" i="2" l="1"/>
  <c r="Z1823" i="2"/>
  <c r="L1822" i="2"/>
  <c r="T1822" i="2" l="1"/>
  <c r="V1822" i="2" s="1"/>
  <c r="L1813" i="2" l="1"/>
  <c r="L1810" i="2" l="1"/>
  <c r="L1809" i="2"/>
  <c r="T1810" i="2" l="1"/>
  <c r="V1810" i="2" s="1"/>
  <c r="Z1810" i="2"/>
  <c r="L1811" i="2"/>
  <c r="T1811" i="2"/>
  <c r="V1811" i="2" s="1"/>
  <c r="Z1811" i="2"/>
  <c r="L1812" i="2"/>
  <c r="T1812" i="2"/>
  <c r="V1812" i="2" s="1"/>
  <c r="Z1812" i="2"/>
  <c r="T1813" i="2"/>
  <c r="V1813" i="2" s="1"/>
  <c r="Z1813" i="2"/>
  <c r="L1814" i="2"/>
  <c r="T1814" i="2"/>
  <c r="V1814" i="2" s="1"/>
  <c r="Z1814" i="2"/>
  <c r="L1815" i="2"/>
  <c r="T1815" i="2"/>
  <c r="V1815" i="2" s="1"/>
  <c r="Z1815" i="2"/>
  <c r="L1816" i="2"/>
  <c r="T1816" i="2"/>
  <c r="V1816" i="2" s="1"/>
  <c r="Z1816" i="2"/>
  <c r="L1817" i="2"/>
  <c r="T1817" i="2"/>
  <c r="V1817" i="2" s="1"/>
  <c r="Z1817" i="2"/>
  <c r="L1818" i="2"/>
  <c r="T1818" i="2"/>
  <c r="V1818" i="2" s="1"/>
  <c r="Z1818" i="2"/>
  <c r="T1819" i="2"/>
  <c r="V1819" i="2" s="1"/>
  <c r="Z1819" i="2"/>
  <c r="L1820" i="2"/>
  <c r="T1820" i="2"/>
  <c r="V1820" i="2" s="1"/>
  <c r="Z1820" i="2"/>
  <c r="L1821" i="2"/>
  <c r="T1821" i="2"/>
  <c r="V1821" i="2" s="1"/>
  <c r="Z1821" i="2"/>
  <c r="L1823" i="2"/>
  <c r="T1823" i="2"/>
  <c r="V1823" i="2" s="1"/>
  <c r="L1804" i="2" l="1"/>
  <c r="Z1803" i="2"/>
  <c r="T1803" i="2"/>
  <c r="V1803" i="2" s="1"/>
  <c r="L1803" i="2"/>
  <c r="Z1743" i="2" l="1"/>
  <c r="T1743" i="2"/>
  <c r="V1743" i="2" s="1"/>
  <c r="L1743" i="2"/>
  <c r="Z1797" i="2" l="1"/>
  <c r="T1797" i="2" l="1"/>
  <c r="V1797" i="2" s="1"/>
  <c r="Z1796" i="2" l="1"/>
  <c r="T1796" i="2"/>
  <c r="V1796" i="2" s="1"/>
  <c r="L1796" i="2"/>
  <c r="Z1795" i="2"/>
  <c r="T1795" i="2"/>
  <c r="V1795" i="2" s="1"/>
  <c r="L1795" i="2"/>
  <c r="T1792" i="2" l="1"/>
  <c r="V1792" i="2" s="1"/>
  <c r="L1792" i="2"/>
  <c r="T1790" i="2"/>
  <c r="V1790" i="2" s="1"/>
  <c r="L1790" i="2"/>
  <c r="Z1792" i="2" l="1"/>
  <c r="T1793" i="2"/>
  <c r="T1794" i="2"/>
  <c r="V1794" i="2" s="1"/>
  <c r="L1787" i="2"/>
  <c r="T1787" i="2"/>
  <c r="V1787" i="2" s="1"/>
  <c r="Z1787" i="2"/>
  <c r="Z1786" i="2" l="1"/>
  <c r="T1786" i="2"/>
  <c r="V1786" i="2" s="1"/>
  <c r="L1786" i="2"/>
  <c r="Z1785" i="2"/>
  <c r="T1785" i="2"/>
  <c r="V1785" i="2" s="1"/>
  <c r="L1785" i="2"/>
  <c r="Z1782" i="2" l="1"/>
  <c r="T1782" i="2"/>
  <c r="V1782" i="2" s="1"/>
  <c r="L1782" i="2"/>
  <c r="Z1781" i="2"/>
  <c r="T1781" i="2"/>
  <c r="V1781" i="2" s="1"/>
  <c r="L1781" i="2"/>
  <c r="L1779" i="2" l="1"/>
  <c r="L1794" i="2"/>
  <c r="Z1794" i="2"/>
  <c r="L1798" i="2"/>
  <c r="T1798" i="2"/>
  <c r="V1798" i="2" s="1"/>
  <c r="Z1798" i="2"/>
  <c r="L1799" i="2"/>
  <c r="T1799" i="2"/>
  <c r="V1799" i="2" s="1"/>
  <c r="Z1799" i="2"/>
  <c r="L1800" i="2"/>
  <c r="T1800" i="2"/>
  <c r="V1800" i="2" s="1"/>
  <c r="Z1800" i="2"/>
  <c r="L1801" i="2"/>
  <c r="T1801" i="2"/>
  <c r="V1801" i="2" s="1"/>
  <c r="Z1801" i="2"/>
  <c r="L1802" i="2"/>
  <c r="T1802" i="2"/>
  <c r="V1802" i="2" s="1"/>
  <c r="Z1802" i="2"/>
  <c r="T1804" i="2"/>
  <c r="V1804" i="2" s="1"/>
  <c r="Z1804" i="2"/>
  <c r="L1805" i="2"/>
  <c r="T1805" i="2"/>
  <c r="V1805" i="2" s="1"/>
  <c r="Z1805" i="2"/>
  <c r="L1806" i="2"/>
  <c r="T1806" i="2"/>
  <c r="V1806" i="2" s="1"/>
  <c r="Z1806" i="2"/>
  <c r="L1807" i="2"/>
  <c r="T1807" i="2"/>
  <c r="V1807" i="2" s="1"/>
  <c r="Z1807" i="2"/>
  <c r="L1808" i="2"/>
  <c r="T1808" i="2"/>
  <c r="V1808" i="2" s="1"/>
  <c r="Z1808" i="2"/>
  <c r="T1809" i="2"/>
  <c r="V1809" i="2" s="1"/>
  <c r="Z1809" i="2"/>
  <c r="Z1753" i="2" l="1"/>
  <c r="Z1773" i="2"/>
  <c r="T1773" i="2"/>
  <c r="V1773" i="2" s="1"/>
  <c r="L1773" i="2"/>
  <c r="Z1772" i="2"/>
  <c r="T1772" i="2"/>
  <c r="V1772" i="2" s="1"/>
  <c r="L1772" i="2"/>
  <c r="Z1771" i="2"/>
  <c r="T1771" i="2"/>
  <c r="V1771" i="2" s="1"/>
  <c r="L1771" i="2"/>
  <c r="Z1770" i="2"/>
  <c r="T1770" i="2"/>
  <c r="V1770" i="2" s="1"/>
  <c r="L1770" i="2"/>
  <c r="Z1740" i="2" l="1"/>
  <c r="L1769" i="2"/>
  <c r="Z1767" i="2" l="1"/>
  <c r="T1767" i="2"/>
  <c r="V1767" i="2" s="1"/>
  <c r="L1767" i="2"/>
  <c r="T1754" i="2" l="1"/>
  <c r="V1754" i="2" s="1"/>
  <c r="T1753" i="2"/>
  <c r="V1753" i="2" s="1"/>
  <c r="L1754" i="2"/>
  <c r="L1753" i="2"/>
  <c r="AC1732" i="2" l="1"/>
  <c r="L1762" i="2" l="1"/>
  <c r="T1740" i="2" l="1"/>
  <c r="V1740" i="2" s="1"/>
  <c r="L1740" i="2"/>
  <c r="Z1761" i="2" l="1"/>
  <c r="T1761" i="2"/>
  <c r="V1761" i="2" s="1"/>
  <c r="L1761" i="2"/>
  <c r="Z1760" i="2"/>
  <c r="T1760" i="2"/>
  <c r="V1760" i="2" s="1"/>
  <c r="L1760" i="2"/>
  <c r="L1759" i="2" l="1"/>
  <c r="Z1732" i="2" l="1"/>
  <c r="Z1682" i="2"/>
  <c r="AC1700" i="2" l="1"/>
  <c r="Z1700" i="2"/>
  <c r="L1756" i="2" l="1"/>
  <c r="Z1751" i="2" l="1"/>
  <c r="T1751" i="2"/>
  <c r="V1751" i="2" s="1"/>
  <c r="L1751" i="2"/>
  <c r="Z1750" i="2"/>
  <c r="T1750" i="2"/>
  <c r="V1750" i="2" s="1"/>
  <c r="L1750" i="2"/>
  <c r="L1745" i="2" l="1"/>
  <c r="T1748" i="2" l="1"/>
  <c r="V1748" i="2" s="1"/>
  <c r="L1748" i="2"/>
  <c r="T1747" i="2"/>
  <c r="V1747" i="2" s="1"/>
  <c r="L1747" i="2"/>
  <c r="T1732" i="2" l="1"/>
  <c r="V1732" i="2" s="1"/>
  <c r="L1732" i="2"/>
  <c r="T1700" i="2"/>
  <c r="V1700" i="2" s="1"/>
  <c r="L1700" i="2"/>
  <c r="Z1744" i="2" l="1"/>
  <c r="T1744" i="2"/>
  <c r="V1744" i="2" s="1"/>
  <c r="L1744" i="2"/>
  <c r="Z1742" i="2" l="1"/>
  <c r="T1742" i="2"/>
  <c r="V1742" i="2" s="1"/>
  <c r="L1742" i="2"/>
  <c r="Z1738" i="2" l="1"/>
  <c r="T1738" i="2"/>
  <c r="V1738" i="2" s="1"/>
  <c r="T1734" i="2" l="1"/>
  <c r="T1735" i="2"/>
  <c r="T1736" i="2"/>
  <c r="Z1735" i="2" l="1"/>
  <c r="V1735" i="2"/>
  <c r="L1735" i="2"/>
  <c r="Z1734" i="2"/>
  <c r="V1734" i="2"/>
  <c r="L1734" i="2"/>
  <c r="L1733" i="2" l="1"/>
  <c r="Z1730" i="2" l="1"/>
  <c r="T1730" i="2"/>
  <c r="V1730" i="2" s="1"/>
  <c r="Z1731" i="2"/>
  <c r="T1731" i="2"/>
  <c r="V1731" i="2" s="1"/>
  <c r="L1730" i="2"/>
  <c r="Z1728" i="2" l="1"/>
  <c r="T1728" i="2"/>
  <c r="V1728" i="2" s="1"/>
  <c r="L1728" i="2"/>
  <c r="Z1727" i="2"/>
  <c r="T1727" i="2"/>
  <c r="V1727" i="2" s="1"/>
  <c r="L1727" i="2"/>
  <c r="Z1724" i="2" l="1"/>
  <c r="T1724" i="2"/>
  <c r="V1724" i="2" s="1"/>
  <c r="L1724" i="2"/>
  <c r="Z1723" i="2"/>
  <c r="T1723" i="2"/>
  <c r="V1723" i="2" s="1"/>
  <c r="L1723" i="2"/>
  <c r="L1719" i="2" l="1"/>
  <c r="L1717" i="2" l="1"/>
  <c r="L1739" i="2" l="1"/>
  <c r="T1739" i="2"/>
  <c r="V1739" i="2" s="1"/>
  <c r="Z1739" i="2"/>
  <c r="L1741" i="2"/>
  <c r="T1741" i="2"/>
  <c r="V1741" i="2" s="1"/>
  <c r="Z1741" i="2"/>
  <c r="T1745" i="2"/>
  <c r="V1745" i="2" s="1"/>
  <c r="Z1745" i="2"/>
  <c r="L1746" i="2"/>
  <c r="T1746" i="2"/>
  <c r="V1746" i="2" s="1"/>
  <c r="Z1746" i="2"/>
  <c r="Z1747" i="2"/>
  <c r="Z1748" i="2"/>
  <c r="T1749" i="2"/>
  <c r="V1749" i="2" s="1"/>
  <c r="Z1749" i="2"/>
  <c r="L1752" i="2"/>
  <c r="T1752" i="2"/>
  <c r="V1752" i="2" s="1"/>
  <c r="Z1752" i="2"/>
  <c r="L1755" i="2"/>
  <c r="T1755" i="2"/>
  <c r="V1755" i="2" s="1"/>
  <c r="Z1755" i="2"/>
  <c r="T1756" i="2"/>
  <c r="V1756" i="2" s="1"/>
  <c r="Z1756" i="2"/>
  <c r="L1757" i="2"/>
  <c r="T1757" i="2"/>
  <c r="V1757" i="2" s="1"/>
  <c r="Z1757" i="2"/>
  <c r="L1758" i="2"/>
  <c r="T1758" i="2"/>
  <c r="V1758" i="2" s="1"/>
  <c r="Z1758" i="2"/>
  <c r="T1759" i="2"/>
  <c r="V1759" i="2" s="1"/>
  <c r="Z1759" i="2"/>
  <c r="T1762" i="2"/>
  <c r="V1762" i="2" s="1"/>
  <c r="Z1762" i="2"/>
  <c r="L1763" i="2"/>
  <c r="T1763" i="2"/>
  <c r="V1763" i="2" s="1"/>
  <c r="Z1763" i="2"/>
  <c r="L1764" i="2"/>
  <c r="T1764" i="2"/>
  <c r="V1764" i="2" s="1"/>
  <c r="Z1764" i="2"/>
  <c r="L1765" i="2"/>
  <c r="T1765" i="2"/>
  <c r="V1765" i="2" s="1"/>
  <c r="Z1765" i="2"/>
  <c r="L1766" i="2"/>
  <c r="T1766" i="2"/>
  <c r="V1766" i="2" s="1"/>
  <c r="Z1766" i="2"/>
  <c r="L1768" i="2"/>
  <c r="T1768" i="2"/>
  <c r="V1768" i="2" s="1"/>
  <c r="Z1768" i="2"/>
  <c r="T1769" i="2"/>
  <c r="V1769" i="2" s="1"/>
  <c r="Z1769" i="2"/>
  <c r="L1774" i="2"/>
  <c r="T1774" i="2"/>
  <c r="V1774" i="2" s="1"/>
  <c r="Z1774" i="2"/>
  <c r="L1775" i="2"/>
  <c r="T1775" i="2"/>
  <c r="V1775" i="2" s="1"/>
  <c r="Z1775" i="2"/>
  <c r="L1776" i="2"/>
  <c r="T1776" i="2"/>
  <c r="V1776" i="2" s="1"/>
  <c r="Z1776" i="2"/>
  <c r="L1777" i="2"/>
  <c r="T1777" i="2"/>
  <c r="V1777" i="2" s="1"/>
  <c r="Z1777" i="2"/>
  <c r="L1778" i="2"/>
  <c r="T1778" i="2"/>
  <c r="V1778" i="2" s="1"/>
  <c r="Z1778" i="2"/>
  <c r="T1779" i="2"/>
  <c r="V1779" i="2" s="1"/>
  <c r="Z1779" i="2"/>
  <c r="L1780" i="2"/>
  <c r="T1780" i="2"/>
  <c r="V1780" i="2" s="1"/>
  <c r="Z1780" i="2"/>
  <c r="L1783" i="2"/>
  <c r="T1783" i="2"/>
  <c r="V1783" i="2" s="1"/>
  <c r="Z1783" i="2"/>
  <c r="L1784" i="2"/>
  <c r="T1784" i="2"/>
  <c r="V1784" i="2" s="1"/>
  <c r="Z1784" i="2"/>
  <c r="L1788" i="2"/>
  <c r="T1788" i="2"/>
  <c r="V1788" i="2" s="1"/>
  <c r="Z1788" i="2"/>
  <c r="L1789" i="2"/>
  <c r="T1789" i="2"/>
  <c r="V1789" i="2" s="1"/>
  <c r="Z1789" i="2"/>
  <c r="Z1790" i="2"/>
  <c r="L1791" i="2"/>
  <c r="T1791" i="2"/>
  <c r="V1791" i="2" s="1"/>
  <c r="Z1791" i="2"/>
  <c r="L1793" i="2"/>
  <c r="V1793" i="2"/>
  <c r="Z1793" i="2"/>
  <c r="L1715" i="2"/>
  <c r="L1716" i="2"/>
  <c r="L1718" i="2"/>
  <c r="L1707" i="2"/>
  <c r="L1708" i="2"/>
  <c r="L1709" i="2"/>
  <c r="L1710" i="2"/>
  <c r="L1711" i="2"/>
  <c r="L1712" i="2"/>
  <c r="L1713" i="2"/>
  <c r="L1714" i="2"/>
  <c r="AC1507" i="2" l="1"/>
  <c r="AC1508" i="2"/>
  <c r="AC1509" i="2"/>
  <c r="AC1510" i="2"/>
  <c r="AC1511" i="2"/>
  <c r="AC1512" i="2"/>
  <c r="AC1513" i="2"/>
  <c r="AC1514" i="2"/>
  <c r="AC1515" i="2"/>
  <c r="AC1516" i="2"/>
  <c r="AC1517" i="2"/>
  <c r="AC1518" i="2"/>
  <c r="AC1519" i="2"/>
  <c r="AC1520" i="2"/>
  <c r="AC1521" i="2"/>
  <c r="AC1522" i="2"/>
  <c r="AC1523" i="2"/>
  <c r="AC1524" i="2"/>
  <c r="AC1525" i="2"/>
  <c r="AC1526" i="2"/>
  <c r="AC1527" i="2"/>
  <c r="AC1528" i="2"/>
  <c r="AC1529" i="2"/>
  <c r="AC1530" i="2"/>
  <c r="AC1531" i="2"/>
  <c r="AC1532" i="2"/>
  <c r="AC1533" i="2"/>
  <c r="AC1534" i="2"/>
  <c r="AC1535" i="2"/>
  <c r="AC1536" i="2"/>
  <c r="AC1537" i="2"/>
  <c r="AC1538" i="2"/>
  <c r="AC1539" i="2"/>
  <c r="AC1540" i="2"/>
  <c r="AC1541" i="2"/>
  <c r="AC1542" i="2"/>
  <c r="AC1543" i="2"/>
  <c r="AC1544" i="2"/>
  <c r="AC1545" i="2"/>
  <c r="AC1546" i="2"/>
  <c r="AC1547" i="2"/>
  <c r="AC1548" i="2"/>
  <c r="AC1549" i="2"/>
  <c r="AC1550" i="2"/>
  <c r="AC1551" i="2"/>
  <c r="AC1552" i="2"/>
  <c r="AC1553" i="2"/>
  <c r="AC1554" i="2"/>
  <c r="AC1555" i="2"/>
  <c r="AC1556" i="2"/>
  <c r="AC1557" i="2"/>
  <c r="AC1558" i="2"/>
  <c r="AC1559" i="2"/>
  <c r="AC1560" i="2"/>
  <c r="AC1561" i="2"/>
  <c r="AC1562" i="2"/>
  <c r="AC1563" i="2"/>
  <c r="AC1564" i="2"/>
  <c r="AC1565" i="2"/>
  <c r="AC1566" i="2"/>
  <c r="AC1567" i="2"/>
  <c r="AC1568" i="2"/>
  <c r="AC1569" i="2"/>
  <c r="AC1570" i="2"/>
  <c r="AC1571" i="2"/>
  <c r="AC1572" i="2"/>
  <c r="AC1573" i="2"/>
  <c r="AC1574" i="2"/>
  <c r="AC1575" i="2"/>
  <c r="AC1576" i="2"/>
  <c r="AC1577" i="2"/>
  <c r="AC1578" i="2"/>
  <c r="AC1579" i="2"/>
  <c r="AC1580" i="2"/>
  <c r="AC1581" i="2"/>
  <c r="AC1582" i="2"/>
  <c r="AC1583" i="2"/>
  <c r="AC1584" i="2"/>
  <c r="AC1585" i="2"/>
  <c r="AC1586" i="2"/>
  <c r="AC1587" i="2"/>
  <c r="AC1588" i="2"/>
  <c r="AC1589" i="2"/>
  <c r="AC1590" i="2"/>
  <c r="AC1591" i="2"/>
  <c r="AC1592" i="2"/>
  <c r="AC1593" i="2"/>
  <c r="AC1594" i="2"/>
  <c r="AC1595" i="2"/>
  <c r="AC1596" i="2"/>
  <c r="AC1597" i="2"/>
  <c r="AC1598" i="2"/>
  <c r="AC1599" i="2"/>
  <c r="AC1600" i="2"/>
  <c r="AC1601" i="2"/>
  <c r="AC1602" i="2"/>
  <c r="AC1603" i="2"/>
  <c r="AC1604" i="2"/>
  <c r="AC1605" i="2"/>
  <c r="AC1606" i="2"/>
  <c r="AC1607" i="2"/>
  <c r="AC1608" i="2"/>
  <c r="AC1609" i="2"/>
  <c r="AC1610" i="2"/>
  <c r="AC1611" i="2"/>
  <c r="AC1612" i="2"/>
  <c r="AC1613" i="2"/>
  <c r="AC1614" i="2"/>
  <c r="AC1615" i="2"/>
  <c r="AC1616" i="2"/>
  <c r="AC1617" i="2"/>
  <c r="AC1618" i="2"/>
  <c r="AC1619" i="2"/>
  <c r="AC1620" i="2"/>
  <c r="AC1621" i="2"/>
  <c r="AC1622" i="2"/>
  <c r="AC1623" i="2"/>
  <c r="AC1624" i="2"/>
  <c r="AC1625" i="2"/>
  <c r="AC1626" i="2"/>
  <c r="AC1627" i="2"/>
  <c r="AC1628" i="2"/>
  <c r="AC1629" i="2"/>
  <c r="AC1630" i="2"/>
  <c r="AC1631" i="2"/>
  <c r="AC1632" i="2"/>
  <c r="AC1633" i="2"/>
  <c r="AC1634" i="2"/>
  <c r="AC1635" i="2"/>
  <c r="AC1636" i="2"/>
  <c r="AC1637" i="2"/>
  <c r="AC1638" i="2"/>
  <c r="AC1639" i="2"/>
  <c r="AC1640" i="2"/>
  <c r="AC1641" i="2"/>
  <c r="AC1642" i="2"/>
  <c r="AC1643" i="2"/>
  <c r="AC1644" i="2"/>
  <c r="AC1645" i="2"/>
  <c r="AC1646" i="2"/>
  <c r="AC1647" i="2"/>
  <c r="AC1648" i="2"/>
  <c r="AC1649" i="2"/>
  <c r="AC1650" i="2"/>
  <c r="AC1651" i="2"/>
  <c r="AC1652" i="2"/>
  <c r="AC1653" i="2"/>
  <c r="AC1654" i="2"/>
  <c r="AC1655" i="2"/>
  <c r="AC1656" i="2"/>
  <c r="AC1657" i="2"/>
  <c r="AC1658" i="2"/>
  <c r="AC1659" i="2"/>
  <c r="AC1660" i="2"/>
  <c r="AC1661" i="2"/>
  <c r="AC1662" i="2"/>
  <c r="AC1663" i="2"/>
  <c r="AC1664" i="2"/>
  <c r="AC1665" i="2"/>
  <c r="AC1666" i="2"/>
  <c r="AC1667" i="2"/>
  <c r="AC1668" i="2"/>
  <c r="AC1669" i="2"/>
  <c r="AC1670" i="2"/>
  <c r="AC1671" i="2"/>
  <c r="AC1672" i="2"/>
  <c r="AC1673" i="2"/>
  <c r="AC1674" i="2"/>
  <c r="AC1675" i="2"/>
  <c r="AC1676" i="2"/>
  <c r="AC1677" i="2"/>
  <c r="AC1678" i="2"/>
  <c r="AC1679" i="2"/>
  <c r="AC1680" i="2"/>
  <c r="AC1681" i="2"/>
  <c r="AC1682" i="2"/>
  <c r="AC1683" i="2"/>
  <c r="AC1684" i="2"/>
  <c r="AC1685" i="2"/>
  <c r="AC1686" i="2"/>
  <c r="AC1687" i="2"/>
  <c r="AC1688" i="2"/>
  <c r="AC1689" i="2"/>
  <c r="AC1690" i="2"/>
  <c r="AC1691" i="2"/>
  <c r="AC1692" i="2"/>
  <c r="AC1693" i="2"/>
  <c r="AC1694" i="2"/>
  <c r="AC1695" i="2"/>
  <c r="AC1696" i="2"/>
  <c r="AC1697" i="2"/>
  <c r="AC1698" i="2"/>
  <c r="AC1699" i="2"/>
  <c r="AC1701" i="2"/>
  <c r="AC1702" i="2"/>
  <c r="AC1703" i="2"/>
  <c r="AC1704" i="2"/>
  <c r="AC1705" i="2"/>
  <c r="AC1706" i="2"/>
  <c r="AC1707" i="2"/>
  <c r="AC1708" i="2"/>
  <c r="AC1709" i="2"/>
  <c r="AC1710" i="2"/>
  <c r="AC1711" i="2"/>
  <c r="AC1712" i="2"/>
  <c r="AC1713" i="2"/>
  <c r="AC1714" i="2"/>
  <c r="AC1715" i="2"/>
  <c r="AC1716" i="2"/>
  <c r="AC1717" i="2"/>
  <c r="AC1718" i="2"/>
  <c r="AC1719" i="2"/>
  <c r="AC1720" i="2"/>
  <c r="AC1721" i="2"/>
  <c r="AC1722" i="2"/>
  <c r="AC1723" i="2"/>
  <c r="AC1724" i="2"/>
  <c r="AC1725" i="2"/>
  <c r="AC1726" i="2"/>
  <c r="AC1727" i="2"/>
  <c r="AC1728" i="2"/>
  <c r="AC1729" i="2"/>
  <c r="AC1730" i="2"/>
  <c r="AC1731" i="2"/>
  <c r="AC1733" i="2"/>
  <c r="AC1734" i="2"/>
  <c r="AC1735" i="2"/>
  <c r="AC1736" i="2"/>
  <c r="AC1737" i="2"/>
  <c r="T1707" i="2"/>
  <c r="V1707" i="2" s="1"/>
  <c r="T1708" i="2"/>
  <c r="V1708" i="2" s="1"/>
  <c r="T1709" i="2"/>
  <c r="V1709" i="2" s="1"/>
  <c r="T1710" i="2"/>
  <c r="V1710" i="2" s="1"/>
  <c r="T1711" i="2"/>
  <c r="V1711" i="2" s="1"/>
  <c r="Z1711" i="2"/>
  <c r="Z1710" i="2"/>
  <c r="Z1709" i="2"/>
  <c r="Z1708" i="2"/>
  <c r="Z1707" i="2"/>
  <c r="Z1706" i="2" l="1"/>
  <c r="T1706" i="2"/>
  <c r="V1706" i="2" s="1"/>
  <c r="L1706" i="2"/>
  <c r="Z1713" i="2"/>
  <c r="T1713" i="2"/>
  <c r="V1713" i="2" s="1"/>
  <c r="Z1712" i="2"/>
  <c r="T1712" i="2"/>
  <c r="V1712" i="2" s="1"/>
  <c r="Z1705" i="2" l="1"/>
  <c r="T1705" i="2"/>
  <c r="V1705" i="2" s="1"/>
  <c r="L1705" i="2"/>
  <c r="Z1704" i="2"/>
  <c r="T1704" i="2"/>
  <c r="V1704" i="2" s="1"/>
  <c r="L1704" i="2"/>
  <c r="L1703" i="2" l="1"/>
  <c r="L1696" i="2" l="1"/>
  <c r="L1682" i="2" l="1"/>
  <c r="L1691" i="2" l="1"/>
  <c r="Z1691" i="2"/>
  <c r="T1691" i="2"/>
  <c r="V1691" i="2" s="1"/>
  <c r="Z1690" i="2"/>
  <c r="T1690" i="2"/>
  <c r="V1690" i="2" s="1"/>
  <c r="T1692" i="2"/>
  <c r="T1693" i="2"/>
  <c r="T1694" i="2"/>
  <c r="T1695" i="2"/>
  <c r="T1696" i="2"/>
  <c r="T1697" i="2"/>
  <c r="T1698" i="2"/>
  <c r="T1699" i="2"/>
  <c r="T1682" i="2"/>
  <c r="V1682" i="2" s="1"/>
  <c r="Z1688" i="2"/>
  <c r="T1688" i="2"/>
  <c r="V1688" i="2" s="1"/>
  <c r="L1688" i="2"/>
  <c r="Z1687" i="2"/>
  <c r="T1687" i="2"/>
  <c r="V1687" i="2" s="1"/>
  <c r="L1687" i="2"/>
  <c r="L1685" i="2" l="1"/>
  <c r="L1684" i="2" l="1"/>
  <c r="Z1684" i="2" l="1"/>
  <c r="T1684" i="2"/>
  <c r="V1684" i="2" s="1"/>
  <c r="Z1681" i="2" l="1"/>
  <c r="T1681" i="2"/>
  <c r="V1681" i="2" s="1"/>
  <c r="L1681" i="2"/>
  <c r="Z1680" i="2"/>
  <c r="T1680" i="2"/>
  <c r="V1680" i="2" s="1"/>
  <c r="L1680" i="2"/>
  <c r="Z1679" i="2" l="1"/>
  <c r="T1679" i="2"/>
  <c r="V1679" i="2" s="1"/>
  <c r="L1677" i="2" l="1"/>
  <c r="L1676" i="2" l="1"/>
  <c r="T1671" i="2" l="1"/>
  <c r="V1671" i="2" s="1"/>
  <c r="L1671" i="2"/>
  <c r="Z1671" i="2"/>
  <c r="Z1675" i="2" l="1"/>
  <c r="T1675" i="2"/>
  <c r="V1675" i="2" s="1"/>
  <c r="L1675" i="2"/>
  <c r="Z1674" i="2"/>
  <c r="T1674" i="2"/>
  <c r="V1674" i="2" s="1"/>
  <c r="L1674" i="2"/>
  <c r="Z1673" i="2"/>
  <c r="T1673" i="2"/>
  <c r="V1673" i="2" s="1"/>
  <c r="L1673" i="2"/>
  <c r="Z1670" i="2" l="1"/>
  <c r="T1670" i="2"/>
  <c r="V1670" i="2" s="1"/>
  <c r="L1670" i="2"/>
  <c r="T1664" i="2" l="1"/>
  <c r="V1664" i="2" s="1"/>
  <c r="L1664" i="2"/>
  <c r="L1666" i="2"/>
  <c r="L1665" i="2"/>
  <c r="Z1663" i="2" l="1"/>
  <c r="T1663" i="2"/>
  <c r="V1663" i="2" s="1"/>
  <c r="L1663" i="2"/>
  <c r="Z1662" i="2"/>
  <c r="T1662" i="2"/>
  <c r="V1662" i="2" s="1"/>
  <c r="L1662" i="2"/>
  <c r="Z1661" i="2"/>
  <c r="T1661" i="2"/>
  <c r="V1661" i="2" s="1"/>
  <c r="L1661" i="2" l="1"/>
  <c r="L1658" i="2" l="1"/>
  <c r="Z1656" i="2" l="1"/>
  <c r="T1656" i="2"/>
  <c r="V1656" i="2" s="1"/>
  <c r="L1656" i="2"/>
  <c r="Z1655" i="2"/>
  <c r="T1655" i="2"/>
  <c r="V1655" i="2" s="1"/>
  <c r="L1655" i="2"/>
  <c r="Z1654" i="2"/>
  <c r="T1654" i="2"/>
  <c r="V1654" i="2" s="1"/>
  <c r="L1654" i="2"/>
  <c r="Z1653" i="2" l="1"/>
  <c r="T1653" i="2"/>
  <c r="V1653" i="2" s="1"/>
  <c r="L1653" i="2"/>
  <c r="Z1652" i="2"/>
  <c r="T1652" i="2"/>
  <c r="V1652" i="2" s="1"/>
  <c r="L1652" i="2"/>
  <c r="Z1649" i="2" l="1"/>
  <c r="T1649" i="2"/>
  <c r="V1649" i="2" s="1"/>
  <c r="L1649" i="2"/>
  <c r="Z1648" i="2" l="1"/>
  <c r="T1648" i="2"/>
  <c r="V1648" i="2" s="1"/>
  <c r="L1648" i="2"/>
  <c r="Z1643" i="2" l="1"/>
  <c r="T1643" i="2"/>
  <c r="V1643" i="2" s="1"/>
  <c r="L1643" i="2"/>
  <c r="Z1642" i="2"/>
  <c r="T1642" i="2"/>
  <c r="V1642" i="2" s="1"/>
  <c r="L1642" i="2"/>
  <c r="Z1634" i="2" l="1"/>
  <c r="T1634" i="2"/>
  <c r="V1634" i="2" s="1"/>
  <c r="L1634" i="2"/>
  <c r="Z1633" i="2"/>
  <c r="T1633" i="2"/>
  <c r="V1633" i="2" s="1"/>
  <c r="L1633" i="2"/>
  <c r="Z1632" i="2"/>
  <c r="T1632" i="2"/>
  <c r="V1632" i="2" s="1"/>
  <c r="L1632" i="2"/>
  <c r="Z1631" i="2"/>
  <c r="T1631" i="2"/>
  <c r="V1631" i="2" s="1"/>
  <c r="L1631" i="2"/>
  <c r="Z1630" i="2"/>
  <c r="T1630" i="2"/>
  <c r="V1630" i="2" s="1"/>
  <c r="L1630" i="2"/>
  <c r="Z1629" i="2"/>
  <c r="T1629" i="2"/>
  <c r="V1629" i="2" s="1"/>
  <c r="L1629" i="2"/>
  <c r="Z1628" i="2" l="1"/>
  <c r="T1628" i="2"/>
  <c r="V1628" i="2" s="1"/>
  <c r="Z1625" i="2" l="1"/>
  <c r="T1625" i="2"/>
  <c r="V1625" i="2" s="1"/>
  <c r="L1650" i="2" l="1"/>
  <c r="T1650" i="2"/>
  <c r="V1650" i="2" s="1"/>
  <c r="Z1650" i="2"/>
  <c r="L1651" i="2"/>
  <c r="T1651" i="2"/>
  <c r="V1651" i="2" s="1"/>
  <c r="Z1651" i="2"/>
  <c r="L1657" i="2"/>
  <c r="T1657" i="2"/>
  <c r="V1657" i="2" s="1"/>
  <c r="Z1657" i="2"/>
  <c r="T1658" i="2"/>
  <c r="V1658" i="2" s="1"/>
  <c r="Z1658" i="2"/>
  <c r="L1659" i="2"/>
  <c r="T1659" i="2"/>
  <c r="V1659" i="2" s="1"/>
  <c r="Z1659" i="2"/>
  <c r="L1660" i="2"/>
  <c r="T1660" i="2"/>
  <c r="V1660" i="2" s="1"/>
  <c r="Z1660" i="2"/>
  <c r="T1665" i="2"/>
  <c r="V1665" i="2" s="1"/>
  <c r="Z1665" i="2"/>
  <c r="T1666" i="2"/>
  <c r="V1666" i="2" s="1"/>
  <c r="Z1666" i="2"/>
  <c r="L1667" i="2"/>
  <c r="T1667" i="2"/>
  <c r="V1667" i="2" s="1"/>
  <c r="Z1667" i="2"/>
  <c r="L1668" i="2"/>
  <c r="T1668" i="2"/>
  <c r="V1668" i="2" s="1"/>
  <c r="Z1668" i="2"/>
  <c r="L1669" i="2"/>
  <c r="T1669" i="2"/>
  <c r="V1669" i="2" s="1"/>
  <c r="Z1669" i="2"/>
  <c r="L1672" i="2"/>
  <c r="T1672" i="2"/>
  <c r="V1672" i="2" s="1"/>
  <c r="Z1672" i="2"/>
  <c r="T1676" i="2"/>
  <c r="V1676" i="2" s="1"/>
  <c r="Z1676" i="2"/>
  <c r="T1677" i="2"/>
  <c r="V1677" i="2" s="1"/>
  <c r="Z1677" i="2"/>
  <c r="L1678" i="2"/>
  <c r="T1678" i="2"/>
  <c r="V1678" i="2" s="1"/>
  <c r="Z1678" i="2"/>
  <c r="L1679" i="2"/>
  <c r="L1683" i="2"/>
  <c r="T1683" i="2"/>
  <c r="V1683" i="2" s="1"/>
  <c r="Z1683" i="2"/>
  <c r="T1685" i="2"/>
  <c r="V1685" i="2" s="1"/>
  <c r="Z1685" i="2"/>
  <c r="L1686" i="2"/>
  <c r="T1686" i="2"/>
  <c r="V1686" i="2" s="1"/>
  <c r="Z1686" i="2"/>
  <c r="L1689" i="2"/>
  <c r="T1689" i="2"/>
  <c r="V1689" i="2" s="1"/>
  <c r="Z1689" i="2"/>
  <c r="L1690" i="2"/>
  <c r="L1692" i="2"/>
  <c r="V1692" i="2"/>
  <c r="Z1692" i="2"/>
  <c r="L1693" i="2"/>
  <c r="V1693" i="2"/>
  <c r="Z1693" i="2"/>
  <c r="L1694" i="2"/>
  <c r="V1694" i="2"/>
  <c r="Z1694" i="2"/>
  <c r="L1695" i="2"/>
  <c r="M1695" i="2" s="1"/>
  <c r="V1695" i="2"/>
  <c r="Z1695" i="2"/>
  <c r="V1696" i="2"/>
  <c r="Z1696" i="2"/>
  <c r="L1697" i="2"/>
  <c r="V1697" i="2"/>
  <c r="Z1697" i="2"/>
  <c r="L1698" i="2"/>
  <c r="V1698" i="2"/>
  <c r="Z1698" i="2"/>
  <c r="L1699" i="2"/>
  <c r="V1699" i="2"/>
  <c r="Z1699" i="2"/>
  <c r="L1701" i="2"/>
  <c r="T1701" i="2"/>
  <c r="V1701" i="2" s="1"/>
  <c r="Z1701" i="2"/>
  <c r="L1702" i="2"/>
  <c r="T1702" i="2"/>
  <c r="V1702" i="2" s="1"/>
  <c r="Z1702" i="2"/>
  <c r="T1703" i="2"/>
  <c r="V1703" i="2" s="1"/>
  <c r="Z1703" i="2"/>
  <c r="T1714" i="2"/>
  <c r="V1714" i="2" s="1"/>
  <c r="Z1714" i="2"/>
  <c r="T1715" i="2"/>
  <c r="V1715" i="2" s="1"/>
  <c r="Z1715" i="2"/>
  <c r="T1716" i="2"/>
  <c r="V1716" i="2" s="1"/>
  <c r="Z1716" i="2"/>
  <c r="T1717" i="2"/>
  <c r="V1717" i="2" s="1"/>
  <c r="Z1717" i="2"/>
  <c r="T1718" i="2"/>
  <c r="V1718" i="2" s="1"/>
  <c r="Z1718" i="2"/>
  <c r="T1719" i="2"/>
  <c r="V1719" i="2" s="1"/>
  <c r="Z1719" i="2"/>
  <c r="L1720" i="2"/>
  <c r="T1720" i="2"/>
  <c r="V1720" i="2" s="1"/>
  <c r="Z1720" i="2"/>
  <c r="L1721" i="2"/>
  <c r="T1721" i="2"/>
  <c r="V1721" i="2" s="1"/>
  <c r="Z1721" i="2"/>
  <c r="L1722" i="2"/>
  <c r="T1722" i="2"/>
  <c r="V1722" i="2" s="1"/>
  <c r="Z1722" i="2"/>
  <c r="L1729" i="2"/>
  <c r="T1729" i="2"/>
  <c r="V1729" i="2" s="1"/>
  <c r="Z1729" i="2"/>
  <c r="L1731" i="2"/>
  <c r="T1733" i="2"/>
  <c r="V1733" i="2" s="1"/>
  <c r="Z1733" i="2"/>
  <c r="L1736" i="2"/>
  <c r="V1736" i="2"/>
  <c r="Z1736" i="2"/>
  <c r="L1737" i="2"/>
  <c r="T1737" i="2"/>
  <c r="V1737" i="2" s="1"/>
  <c r="Z1737" i="2"/>
  <c r="L1738" i="2"/>
  <c r="L1624" i="2"/>
  <c r="Z1601" i="2" l="1"/>
  <c r="T1601" i="2"/>
  <c r="V1601" i="2" s="1"/>
  <c r="L1601" i="2"/>
  <c r="Z1623" i="2"/>
  <c r="T1623" i="2"/>
  <c r="V1623" i="2" s="1"/>
  <c r="L1623" i="2"/>
  <c r="Z1622" i="2"/>
  <c r="T1622" i="2"/>
  <c r="V1622" i="2" s="1"/>
  <c r="L1622" i="2"/>
  <c r="Z1621" i="2"/>
  <c r="T1621" i="2"/>
  <c r="V1621" i="2" s="1"/>
  <c r="L1621" i="2"/>
  <c r="Z1620" i="2"/>
  <c r="T1620" i="2"/>
  <c r="V1620" i="2" s="1"/>
  <c r="L1620" i="2"/>
  <c r="Z1619" i="2"/>
  <c r="T1619" i="2"/>
  <c r="V1619" i="2" s="1"/>
  <c r="L1619" i="2"/>
  <c r="Z1618" i="2"/>
  <c r="T1618" i="2"/>
  <c r="V1618" i="2" s="1"/>
  <c r="L1618" i="2"/>
  <c r="Z1617" i="2"/>
  <c r="T1617" i="2"/>
  <c r="V1617" i="2" s="1"/>
  <c r="L1617" i="2"/>
  <c r="Z1616" i="2"/>
  <c r="T1616" i="2"/>
  <c r="V1616" i="2" s="1"/>
  <c r="L1616" i="2"/>
  <c r="Z1615" i="2"/>
  <c r="T1615" i="2"/>
  <c r="V1615" i="2" s="1"/>
  <c r="L1615" i="2"/>
  <c r="Z1614" i="2"/>
  <c r="T1614" i="2"/>
  <c r="V1614" i="2" s="1"/>
  <c r="L1614" i="2"/>
  <c r="Z1613" i="2"/>
  <c r="T1613" i="2"/>
  <c r="V1613" i="2" s="1"/>
  <c r="L1613" i="2"/>
  <c r="Z1612" i="2"/>
  <c r="T1612" i="2"/>
  <c r="V1612" i="2" s="1"/>
  <c r="L1612" i="2"/>
  <c r="Z1611" i="2"/>
  <c r="T1611" i="2"/>
  <c r="V1611" i="2" s="1"/>
  <c r="L1611" i="2"/>
  <c r="Z1610" i="2"/>
  <c r="T1610" i="2"/>
  <c r="V1610" i="2" s="1"/>
  <c r="L1610" i="2"/>
  <c r="Z1609" i="2"/>
  <c r="T1609" i="2"/>
  <c r="V1609" i="2" s="1"/>
  <c r="L1609" i="2"/>
  <c r="Z1608" i="2"/>
  <c r="T1608" i="2"/>
  <c r="V1608" i="2" s="1"/>
  <c r="L1608" i="2"/>
  <c r="Z1607" i="2"/>
  <c r="T1607" i="2"/>
  <c r="V1607" i="2" s="1"/>
  <c r="L1607" i="2"/>
  <c r="Z1606" i="2"/>
  <c r="T1606" i="2"/>
  <c r="V1606" i="2" s="1"/>
  <c r="L1606" i="2"/>
  <c r="Z1605" i="2"/>
  <c r="T1605" i="2"/>
  <c r="V1605" i="2" s="1"/>
  <c r="L1605" i="2"/>
  <c r="Z1604" i="2"/>
  <c r="T1604" i="2"/>
  <c r="V1604" i="2" s="1"/>
  <c r="L1604" i="2"/>
  <c r="Z1603" i="2"/>
  <c r="T1603" i="2"/>
  <c r="V1603" i="2" s="1"/>
  <c r="L1603" i="2"/>
  <c r="Z1602" i="2"/>
  <c r="T1602" i="2"/>
  <c r="V1602" i="2" s="1"/>
  <c r="L1602" i="2"/>
  <c r="M32" i="5" l="1"/>
  <c r="L32" i="5"/>
  <c r="K32" i="5"/>
  <c r="J32" i="5"/>
  <c r="I32" i="5"/>
  <c r="H32" i="5"/>
  <c r="G32" i="5"/>
  <c r="F32" i="5"/>
  <c r="E32" i="5"/>
  <c r="D32" i="5"/>
  <c r="C32" i="5"/>
  <c r="B32" i="5"/>
  <c r="Z1600" i="2" l="1"/>
  <c r="T1600" i="2"/>
  <c r="V1600" i="2" s="1"/>
  <c r="L1600" i="2"/>
  <c r="L1599" i="2"/>
  <c r="Z1598" i="2" l="1"/>
  <c r="T1598" i="2"/>
  <c r="V1598" i="2" s="1"/>
  <c r="Z1597" i="2" l="1"/>
  <c r="T1597" i="2"/>
  <c r="V1597" i="2" s="1"/>
  <c r="L1597" i="2"/>
  <c r="L1594" i="2" l="1"/>
  <c r="L1593" i="2" l="1"/>
  <c r="L1588" i="2" l="1"/>
  <c r="L1584" i="2" l="1"/>
  <c r="Z1583" i="2" l="1"/>
  <c r="T1583" i="2"/>
  <c r="V1583" i="2" s="1"/>
  <c r="L1583" i="2"/>
  <c r="L1582" i="2" l="1"/>
  <c r="L1581" i="2" l="1"/>
  <c r="Z1580" i="2" l="1"/>
  <c r="T1580" i="2"/>
  <c r="V1580" i="2" s="1"/>
  <c r="L1580" i="2"/>
  <c r="Z1579" i="2"/>
  <c r="T1579" i="2"/>
  <c r="V1579" i="2" s="1"/>
  <c r="L1579" i="2"/>
  <c r="L1578" i="2"/>
  <c r="Z1576" i="2" l="1"/>
  <c r="T1576" i="2"/>
  <c r="V1576" i="2" s="1"/>
  <c r="L1576" i="2"/>
  <c r="Z1575" i="2" l="1"/>
  <c r="T1575" i="2"/>
  <c r="V1575" i="2" s="1"/>
  <c r="L1575" i="2"/>
  <c r="L1574" i="2" l="1"/>
  <c r="Z1574" i="2"/>
  <c r="T1574" i="2"/>
  <c r="V1574" i="2" s="1"/>
  <c r="L1573" i="2" l="1"/>
  <c r="Z1571" i="2" l="1"/>
  <c r="T1571" i="2"/>
  <c r="V1571" i="2" s="1"/>
  <c r="L1571" i="2"/>
  <c r="L1570" i="2" l="1"/>
  <c r="L1569" i="2"/>
  <c r="L1565" i="2" l="1"/>
  <c r="L1564" i="2" l="1"/>
  <c r="L1563" i="2"/>
  <c r="T1581" i="2" l="1"/>
  <c r="V1581" i="2" s="1"/>
  <c r="Z1581" i="2"/>
  <c r="T1582" i="2"/>
  <c r="V1582" i="2" s="1"/>
  <c r="Z1582" i="2"/>
  <c r="T1584" i="2"/>
  <c r="V1584" i="2" s="1"/>
  <c r="Z1584" i="2"/>
  <c r="L1585" i="2"/>
  <c r="T1585" i="2"/>
  <c r="V1585" i="2" s="1"/>
  <c r="Z1585" i="2"/>
  <c r="L1586" i="2"/>
  <c r="T1586" i="2"/>
  <c r="V1586" i="2" s="1"/>
  <c r="Z1586" i="2"/>
  <c r="L1587" i="2"/>
  <c r="T1587" i="2"/>
  <c r="V1587" i="2" s="1"/>
  <c r="Z1587" i="2"/>
  <c r="T1588" i="2"/>
  <c r="V1588" i="2" s="1"/>
  <c r="Z1588" i="2"/>
  <c r="L1589" i="2"/>
  <c r="T1589" i="2"/>
  <c r="V1589" i="2" s="1"/>
  <c r="Z1589" i="2"/>
  <c r="L1590" i="2"/>
  <c r="T1590" i="2"/>
  <c r="V1590" i="2" s="1"/>
  <c r="Z1590" i="2"/>
  <c r="L1591" i="2"/>
  <c r="T1591" i="2"/>
  <c r="V1591" i="2" s="1"/>
  <c r="Z1591" i="2"/>
  <c r="L1592" i="2"/>
  <c r="T1592" i="2"/>
  <c r="V1592" i="2" s="1"/>
  <c r="Z1592" i="2"/>
  <c r="T1593" i="2"/>
  <c r="V1593" i="2" s="1"/>
  <c r="Z1593" i="2"/>
  <c r="T1594" i="2"/>
  <c r="V1594" i="2" s="1"/>
  <c r="Z1594" i="2"/>
  <c r="L1595" i="2"/>
  <c r="T1595" i="2"/>
  <c r="V1595" i="2" s="1"/>
  <c r="Z1595" i="2"/>
  <c r="L1596" i="2"/>
  <c r="T1596" i="2"/>
  <c r="V1596" i="2" s="1"/>
  <c r="Z1596" i="2"/>
  <c r="L1598" i="2"/>
  <c r="T1599" i="2"/>
  <c r="V1599" i="2" s="1"/>
  <c r="Z1599" i="2"/>
  <c r="T1624" i="2"/>
  <c r="V1624" i="2" s="1"/>
  <c r="Z1624" i="2"/>
  <c r="L1625" i="2"/>
  <c r="L1626" i="2"/>
  <c r="T1626" i="2"/>
  <c r="V1626" i="2" s="1"/>
  <c r="Z1626" i="2"/>
  <c r="L1627" i="2"/>
  <c r="T1627" i="2"/>
  <c r="V1627" i="2" s="1"/>
  <c r="Z1627" i="2"/>
  <c r="L1628" i="2"/>
  <c r="L1638" i="2"/>
  <c r="T1638" i="2"/>
  <c r="V1638" i="2" s="1"/>
  <c r="Z1638" i="2"/>
  <c r="L1639" i="2"/>
  <c r="T1639" i="2"/>
  <c r="V1639" i="2" s="1"/>
  <c r="Z1639" i="2"/>
  <c r="L1640" i="2"/>
  <c r="V1640" i="2"/>
  <c r="Z1640" i="2"/>
  <c r="L1641" i="2"/>
  <c r="T1641" i="2"/>
  <c r="V1641" i="2" s="1"/>
  <c r="Z1641" i="2"/>
  <c r="L1644" i="2"/>
  <c r="T1644" i="2"/>
  <c r="V1644" i="2" s="1"/>
  <c r="Z1644" i="2"/>
  <c r="L1645" i="2"/>
  <c r="T1645" i="2"/>
  <c r="V1645" i="2" s="1"/>
  <c r="Z1645" i="2"/>
  <c r="Z1558" i="2" l="1"/>
  <c r="T1558" i="2"/>
  <c r="V1558" i="2" s="1"/>
  <c r="L1558" i="2"/>
  <c r="L1557" i="2" l="1"/>
  <c r="Z1555" i="2" l="1"/>
  <c r="T1555" i="2"/>
  <c r="V1555" i="2" s="1"/>
  <c r="L1555" i="2"/>
  <c r="Z1551" i="2" l="1"/>
  <c r="T1551" i="2"/>
  <c r="V1551" i="2" s="1"/>
  <c r="L1551" i="2"/>
  <c r="L1550" i="2" l="1"/>
  <c r="Z1550" i="2"/>
  <c r="T1550" i="2"/>
  <c r="V1550" i="2" s="1"/>
  <c r="Z1546" i="2" l="1"/>
  <c r="Z1547" i="2"/>
  <c r="Z1548" i="2"/>
  <c r="Z1549" i="2"/>
  <c r="T1546" i="2"/>
  <c r="T1547" i="2"/>
  <c r="T1548" i="2"/>
  <c r="T1549" i="2"/>
  <c r="L1541" i="2" l="1"/>
  <c r="Z1536" i="2" l="1"/>
  <c r="T1536" i="2"/>
  <c r="V1536" i="2" s="1"/>
  <c r="Z1535" i="2" l="1"/>
  <c r="T1535" i="2"/>
  <c r="V1535" i="2" s="1"/>
  <c r="L1535" i="2"/>
  <c r="T1532" i="2" l="1"/>
  <c r="V1532" i="2" s="1"/>
  <c r="L1532" i="2"/>
  <c r="L1531" i="2"/>
  <c r="L1530" i="2" l="1"/>
  <c r="Z1530" i="2" l="1"/>
  <c r="T1530" i="2"/>
  <c r="V1530" i="2" s="1"/>
  <c r="L1526" i="2" l="1"/>
  <c r="Z3" i="2" l="1"/>
  <c r="Z4" i="2"/>
  <c r="Z5" i="2"/>
  <c r="Z6" i="2"/>
  <c r="Z7" i="2"/>
  <c r="Z8" i="2"/>
  <c r="Z9" i="2"/>
  <c r="Z10" i="2"/>
  <c r="Z11" i="2"/>
  <c r="Z12" i="2"/>
  <c r="Z13" i="2"/>
  <c r="Z14" i="2"/>
  <c r="Z15" i="2"/>
  <c r="Z16" i="2"/>
  <c r="Z17" i="2"/>
  <c r="Z18" i="2"/>
  <c r="Z19" i="2"/>
  <c r="Z20" i="2"/>
  <c r="Z21" i="2"/>
  <c r="Z22" i="2"/>
  <c r="Z23" i="2"/>
  <c r="Z24" i="2"/>
  <c r="Z25" i="2"/>
  <c r="Z26" i="2"/>
  <c r="Z27" i="2"/>
  <c r="Z28" i="2"/>
  <c r="Z29" i="2"/>
  <c r="Z30" i="2"/>
  <c r="Z31" i="2"/>
  <c r="Z32" i="2"/>
  <c r="Z33" i="2"/>
  <c r="Z34" i="2"/>
  <c r="Z35" i="2"/>
  <c r="Z36" i="2"/>
  <c r="Z37" i="2"/>
  <c r="Z38" i="2"/>
  <c r="Z39" i="2"/>
  <c r="Z40" i="2"/>
  <c r="Z41" i="2"/>
  <c r="Z42" i="2"/>
  <c r="Z43" i="2"/>
  <c r="Z44" i="2"/>
  <c r="Z45" i="2"/>
  <c r="Z46" i="2"/>
  <c r="Z47" i="2"/>
  <c r="Z48" i="2"/>
  <c r="Z49" i="2"/>
  <c r="Z50" i="2"/>
  <c r="Z51" i="2"/>
  <c r="Z52" i="2"/>
  <c r="Z53" i="2"/>
  <c r="Z54" i="2"/>
  <c r="Z55" i="2"/>
  <c r="Z56" i="2"/>
  <c r="Z57" i="2"/>
  <c r="Z58" i="2"/>
  <c r="Z59" i="2"/>
  <c r="Z60" i="2"/>
  <c r="Z61" i="2"/>
  <c r="Z62" i="2"/>
  <c r="Z63" i="2"/>
  <c r="Z64" i="2"/>
  <c r="Z65" i="2"/>
  <c r="Z66" i="2"/>
  <c r="Z67" i="2"/>
  <c r="Z68" i="2"/>
  <c r="Z69" i="2"/>
  <c r="Z70" i="2"/>
  <c r="Z71" i="2"/>
  <c r="Z72" i="2"/>
  <c r="Z73" i="2"/>
  <c r="Z74" i="2"/>
  <c r="Z75" i="2"/>
  <c r="Z76" i="2"/>
  <c r="Z77" i="2"/>
  <c r="Z78" i="2"/>
  <c r="Z79" i="2"/>
  <c r="Z80" i="2"/>
  <c r="Z81" i="2"/>
  <c r="Z82" i="2"/>
  <c r="Z83" i="2"/>
  <c r="Z84" i="2"/>
  <c r="Z85" i="2"/>
  <c r="Z86" i="2"/>
  <c r="Z87" i="2"/>
  <c r="Z88" i="2"/>
  <c r="Z89" i="2"/>
  <c r="Z90" i="2"/>
  <c r="Z91" i="2"/>
  <c r="Z92" i="2"/>
  <c r="Z93" i="2"/>
  <c r="Z94" i="2"/>
  <c r="Z95" i="2"/>
  <c r="Z96" i="2"/>
  <c r="Z97" i="2"/>
  <c r="Z98" i="2"/>
  <c r="Z99" i="2"/>
  <c r="Z100" i="2"/>
  <c r="Z101" i="2"/>
  <c r="Z102" i="2"/>
  <c r="Z103" i="2"/>
  <c r="Z104" i="2"/>
  <c r="Z105" i="2"/>
  <c r="Z106" i="2"/>
  <c r="Z107" i="2"/>
  <c r="Z108" i="2"/>
  <c r="Z109" i="2"/>
  <c r="Z110" i="2"/>
  <c r="Z111" i="2"/>
  <c r="Z112" i="2"/>
  <c r="Z113" i="2"/>
  <c r="Z114" i="2"/>
  <c r="Z115" i="2"/>
  <c r="Z116" i="2"/>
  <c r="Z117" i="2"/>
  <c r="Z118" i="2"/>
  <c r="Z119" i="2"/>
  <c r="Z120" i="2"/>
  <c r="Z121" i="2"/>
  <c r="Z122" i="2"/>
  <c r="Z123" i="2"/>
  <c r="Z124" i="2"/>
  <c r="Z125" i="2"/>
  <c r="Z126" i="2"/>
  <c r="Z127" i="2"/>
  <c r="Z128" i="2"/>
  <c r="Z129" i="2"/>
  <c r="Z130" i="2"/>
  <c r="Z131" i="2"/>
  <c r="Z132" i="2"/>
  <c r="Z133" i="2"/>
  <c r="Z134" i="2"/>
  <c r="Z135" i="2"/>
  <c r="Z136" i="2"/>
  <c r="Z137" i="2"/>
  <c r="Z138" i="2"/>
  <c r="Z139" i="2"/>
  <c r="Z140" i="2"/>
  <c r="Z141" i="2"/>
  <c r="Z142" i="2"/>
  <c r="Z143" i="2"/>
  <c r="Z144" i="2"/>
  <c r="Z145" i="2"/>
  <c r="Z146" i="2"/>
  <c r="Z147" i="2"/>
  <c r="Z148" i="2"/>
  <c r="Z149" i="2"/>
  <c r="Z150" i="2"/>
  <c r="Z151" i="2"/>
  <c r="Z152" i="2"/>
  <c r="Z153" i="2"/>
  <c r="Z154" i="2"/>
  <c r="Z155" i="2"/>
  <c r="Z156" i="2"/>
  <c r="Z157" i="2"/>
  <c r="Z158" i="2"/>
  <c r="Z159" i="2"/>
  <c r="Z160" i="2"/>
  <c r="Z161" i="2"/>
  <c r="Z162" i="2"/>
  <c r="Z163" i="2"/>
  <c r="Z164" i="2"/>
  <c r="Z165" i="2"/>
  <c r="Z166" i="2"/>
  <c r="Z167" i="2"/>
  <c r="Z168" i="2"/>
  <c r="Z169" i="2"/>
  <c r="Z170" i="2"/>
  <c r="Z171" i="2"/>
  <c r="Z172" i="2"/>
  <c r="Z173" i="2"/>
  <c r="Z174" i="2"/>
  <c r="Z175" i="2"/>
  <c r="Z176" i="2"/>
  <c r="Z177" i="2"/>
  <c r="Z178" i="2"/>
  <c r="Z179" i="2"/>
  <c r="Z180" i="2"/>
  <c r="Z181" i="2"/>
  <c r="Z182" i="2"/>
  <c r="Z183" i="2"/>
  <c r="Z184" i="2"/>
  <c r="Z185" i="2"/>
  <c r="Z186" i="2"/>
  <c r="Z187" i="2"/>
  <c r="Z188" i="2"/>
  <c r="Z189" i="2"/>
  <c r="Z190" i="2"/>
  <c r="Z191" i="2"/>
  <c r="Z192" i="2"/>
  <c r="Z193" i="2"/>
  <c r="Z194" i="2"/>
  <c r="Z195" i="2"/>
  <c r="Z196" i="2"/>
  <c r="Z197" i="2"/>
  <c r="Z198" i="2"/>
  <c r="Z199" i="2"/>
  <c r="Z200" i="2"/>
  <c r="Z201" i="2"/>
  <c r="Z202" i="2"/>
  <c r="Z203" i="2"/>
  <c r="Z204" i="2"/>
  <c r="Z205" i="2"/>
  <c r="Z206" i="2"/>
  <c r="Z207" i="2"/>
  <c r="Z208" i="2"/>
  <c r="Z209" i="2"/>
  <c r="Z210" i="2"/>
  <c r="Z211" i="2"/>
  <c r="Z212" i="2"/>
  <c r="Z213" i="2"/>
  <c r="Z214" i="2"/>
  <c r="Z215" i="2"/>
  <c r="Z216" i="2"/>
  <c r="Z217" i="2"/>
  <c r="Z218" i="2"/>
  <c r="Z219" i="2"/>
  <c r="Z220" i="2"/>
  <c r="Z221" i="2"/>
  <c r="Z222" i="2"/>
  <c r="Z223" i="2"/>
  <c r="Z224" i="2"/>
  <c r="Z225" i="2"/>
  <c r="Z226" i="2"/>
  <c r="Z227" i="2"/>
  <c r="Z228" i="2"/>
  <c r="Z229" i="2"/>
  <c r="Z230" i="2"/>
  <c r="Z231" i="2"/>
  <c r="Z232" i="2"/>
  <c r="Z233" i="2"/>
  <c r="Z234" i="2"/>
  <c r="Z235" i="2"/>
  <c r="Z236" i="2"/>
  <c r="Z237" i="2"/>
  <c r="Z238" i="2"/>
  <c r="Z239" i="2"/>
  <c r="Z240" i="2"/>
  <c r="Z241" i="2"/>
  <c r="Z242" i="2"/>
  <c r="Z243" i="2"/>
  <c r="Z244" i="2"/>
  <c r="Z245" i="2"/>
  <c r="Z246" i="2"/>
  <c r="Z247" i="2"/>
  <c r="Z248" i="2"/>
  <c r="Z249" i="2"/>
  <c r="Z250" i="2"/>
  <c r="Z251" i="2"/>
  <c r="Z252" i="2"/>
  <c r="Z253" i="2"/>
  <c r="Z254" i="2"/>
  <c r="Z255" i="2"/>
  <c r="Z256" i="2"/>
  <c r="Z257" i="2"/>
  <c r="Z258" i="2"/>
  <c r="Z259" i="2"/>
  <c r="Z260" i="2"/>
  <c r="Z261" i="2"/>
  <c r="Z262" i="2"/>
  <c r="Z263" i="2"/>
  <c r="Z264" i="2"/>
  <c r="Z265" i="2"/>
  <c r="Z266" i="2"/>
  <c r="Z267" i="2"/>
  <c r="Z268" i="2"/>
  <c r="Z269" i="2"/>
  <c r="Z270" i="2"/>
  <c r="Z271" i="2"/>
  <c r="Z272" i="2"/>
  <c r="Z273" i="2"/>
  <c r="Z274" i="2"/>
  <c r="Z275" i="2"/>
  <c r="Z276" i="2"/>
  <c r="Z277" i="2"/>
  <c r="Z278" i="2"/>
  <c r="Z279" i="2"/>
  <c r="Z280" i="2"/>
  <c r="Z281" i="2"/>
  <c r="Z282" i="2"/>
  <c r="Z283" i="2"/>
  <c r="Z284" i="2"/>
  <c r="Z285" i="2"/>
  <c r="Z286" i="2"/>
  <c r="Z287" i="2"/>
  <c r="Z288" i="2"/>
  <c r="Z289" i="2"/>
  <c r="Z290" i="2"/>
  <c r="Z291" i="2"/>
  <c r="Z292" i="2"/>
  <c r="Z293" i="2"/>
  <c r="Z294" i="2"/>
  <c r="Z295" i="2"/>
  <c r="Z296" i="2"/>
  <c r="Z297" i="2"/>
  <c r="Z298" i="2"/>
  <c r="Z299" i="2"/>
  <c r="Z300" i="2"/>
  <c r="Z301" i="2"/>
  <c r="Z302" i="2"/>
  <c r="Z303" i="2"/>
  <c r="Z304" i="2"/>
  <c r="Z305" i="2"/>
  <c r="Z306" i="2"/>
  <c r="Z307" i="2"/>
  <c r="Z308" i="2"/>
  <c r="Z309" i="2"/>
  <c r="Z310" i="2"/>
  <c r="Z311" i="2"/>
  <c r="Z312" i="2"/>
  <c r="Z313" i="2"/>
  <c r="Z314" i="2"/>
  <c r="Z315" i="2"/>
  <c r="Z316" i="2"/>
  <c r="Z317" i="2"/>
  <c r="Z318" i="2"/>
  <c r="Z319" i="2"/>
  <c r="Z320" i="2"/>
  <c r="Z321" i="2"/>
  <c r="Z322" i="2"/>
  <c r="Z323" i="2"/>
  <c r="Z324" i="2"/>
  <c r="Z325" i="2"/>
  <c r="Z326" i="2"/>
  <c r="Z327" i="2"/>
  <c r="Z328" i="2"/>
  <c r="Z329" i="2"/>
  <c r="Z330" i="2"/>
  <c r="Z331" i="2"/>
  <c r="Z332" i="2"/>
  <c r="Z333" i="2"/>
  <c r="Z334" i="2"/>
  <c r="Z335" i="2"/>
  <c r="Z336" i="2"/>
  <c r="Z337" i="2"/>
  <c r="Z338" i="2"/>
  <c r="Z339" i="2"/>
  <c r="Z340" i="2"/>
  <c r="Z341" i="2"/>
  <c r="Z342" i="2"/>
  <c r="Z343" i="2"/>
  <c r="Z344" i="2"/>
  <c r="Z345" i="2"/>
  <c r="Z346" i="2"/>
  <c r="Z347" i="2"/>
  <c r="Z348" i="2"/>
  <c r="Z349" i="2"/>
  <c r="Z350" i="2"/>
  <c r="Z351" i="2"/>
  <c r="Z352" i="2"/>
  <c r="Z353" i="2"/>
  <c r="Z354" i="2"/>
  <c r="Z355" i="2"/>
  <c r="Z356" i="2"/>
  <c r="Z357" i="2"/>
  <c r="Z358" i="2"/>
  <c r="Z359" i="2"/>
  <c r="Z360" i="2"/>
  <c r="Z361" i="2"/>
  <c r="Z362" i="2"/>
  <c r="Z363" i="2"/>
  <c r="Z364" i="2"/>
  <c r="Z365" i="2"/>
  <c r="Z366" i="2"/>
  <c r="Z367" i="2"/>
  <c r="Z368" i="2"/>
  <c r="Z369" i="2"/>
  <c r="Z370" i="2"/>
  <c r="Z371" i="2"/>
  <c r="Z372" i="2"/>
  <c r="Z373" i="2"/>
  <c r="Z374" i="2"/>
  <c r="Z375" i="2"/>
  <c r="Z376" i="2"/>
  <c r="Z377" i="2"/>
  <c r="Z378" i="2"/>
  <c r="Z379" i="2"/>
  <c r="Z380" i="2"/>
  <c r="Z381" i="2"/>
  <c r="Z382" i="2"/>
  <c r="Z383" i="2"/>
  <c r="Z384" i="2"/>
  <c r="Z385" i="2"/>
  <c r="Z386" i="2"/>
  <c r="Z387" i="2"/>
  <c r="Z388" i="2"/>
  <c r="Z389" i="2"/>
  <c r="Z390" i="2"/>
  <c r="Z391" i="2"/>
  <c r="Z392" i="2"/>
  <c r="Z393" i="2"/>
  <c r="Z394" i="2"/>
  <c r="Z395" i="2"/>
  <c r="Z396" i="2"/>
  <c r="Z397" i="2"/>
  <c r="Z398" i="2"/>
  <c r="Z399" i="2"/>
  <c r="Z400" i="2"/>
  <c r="Z401" i="2"/>
  <c r="Z402" i="2"/>
  <c r="Z403" i="2"/>
  <c r="Z404" i="2"/>
  <c r="Z405" i="2"/>
  <c r="Z406" i="2"/>
  <c r="Z407" i="2"/>
  <c r="Z408" i="2"/>
  <c r="Z409" i="2"/>
  <c r="Z410" i="2"/>
  <c r="Z411" i="2"/>
  <c r="Z412" i="2"/>
  <c r="Z413" i="2"/>
  <c r="Z414" i="2"/>
  <c r="Z415" i="2"/>
  <c r="Z416" i="2"/>
  <c r="Z417" i="2"/>
  <c r="Z418" i="2"/>
  <c r="Z419" i="2"/>
  <c r="Z420" i="2"/>
  <c r="Z421" i="2"/>
  <c r="Z422" i="2"/>
  <c r="Z423" i="2"/>
  <c r="Z424" i="2"/>
  <c r="Z425" i="2"/>
  <c r="Z426" i="2"/>
  <c r="Z427" i="2"/>
  <c r="Z428" i="2"/>
  <c r="Z429" i="2"/>
  <c r="Z430" i="2"/>
  <c r="Z431" i="2"/>
  <c r="Z432" i="2"/>
  <c r="Z433" i="2"/>
  <c r="Z434" i="2"/>
  <c r="Z435" i="2"/>
  <c r="Z436" i="2"/>
  <c r="Z437" i="2"/>
  <c r="Z438" i="2"/>
  <c r="Z439" i="2"/>
  <c r="Z440" i="2"/>
  <c r="Z441" i="2"/>
  <c r="Z442" i="2"/>
  <c r="Z443" i="2"/>
  <c r="Z444" i="2"/>
  <c r="Z445" i="2"/>
  <c r="Z446" i="2"/>
  <c r="Z447" i="2"/>
  <c r="Z448" i="2"/>
  <c r="Z449" i="2"/>
  <c r="Z450" i="2"/>
  <c r="Z451" i="2"/>
  <c r="Z452" i="2"/>
  <c r="Z453" i="2"/>
  <c r="Z454" i="2"/>
  <c r="Z455" i="2"/>
  <c r="Z456" i="2"/>
  <c r="Z457" i="2"/>
  <c r="Z458" i="2"/>
  <c r="Z459" i="2"/>
  <c r="Z460" i="2"/>
  <c r="Z461" i="2"/>
  <c r="Z462" i="2"/>
  <c r="Z463" i="2"/>
  <c r="Z464" i="2"/>
  <c r="Z465" i="2"/>
  <c r="Z466" i="2"/>
  <c r="Z467" i="2"/>
  <c r="Z468" i="2"/>
  <c r="Z469" i="2"/>
  <c r="Z470" i="2"/>
  <c r="Z471" i="2"/>
  <c r="Z472" i="2"/>
  <c r="Z473" i="2"/>
  <c r="Z474" i="2"/>
  <c r="Z475" i="2"/>
  <c r="Z476" i="2"/>
  <c r="Z477" i="2"/>
  <c r="Z478" i="2"/>
  <c r="Z479" i="2"/>
  <c r="Z480" i="2"/>
  <c r="Z481" i="2"/>
  <c r="Z482" i="2"/>
  <c r="Z483" i="2"/>
  <c r="Z484" i="2"/>
  <c r="Z485" i="2"/>
  <c r="Z486" i="2"/>
  <c r="Z487" i="2"/>
  <c r="Z488" i="2"/>
  <c r="Z489" i="2"/>
  <c r="Z490" i="2"/>
  <c r="Z491" i="2"/>
  <c r="Z492" i="2"/>
  <c r="Z493" i="2"/>
  <c r="Z494" i="2"/>
  <c r="Z495" i="2"/>
  <c r="Z496" i="2"/>
  <c r="Z497" i="2"/>
  <c r="Z498" i="2"/>
  <c r="Z499" i="2"/>
  <c r="Z500" i="2"/>
  <c r="Z501" i="2"/>
  <c r="Z502" i="2"/>
  <c r="Z503" i="2"/>
  <c r="Z504" i="2"/>
  <c r="Z505" i="2"/>
  <c r="Z506" i="2"/>
  <c r="Z507" i="2"/>
  <c r="Z508" i="2"/>
  <c r="Z509" i="2"/>
  <c r="Z510" i="2"/>
  <c r="Z511" i="2"/>
  <c r="Z512" i="2"/>
  <c r="Z513" i="2"/>
  <c r="Z514" i="2"/>
  <c r="Z515" i="2"/>
  <c r="Z516" i="2"/>
  <c r="Z517" i="2"/>
  <c r="Z518" i="2"/>
  <c r="Z519" i="2"/>
  <c r="Z520" i="2"/>
  <c r="Z521" i="2"/>
  <c r="Z522" i="2"/>
  <c r="Z523" i="2"/>
  <c r="Z524" i="2"/>
  <c r="Z525" i="2"/>
  <c r="Z526" i="2"/>
  <c r="Z527" i="2"/>
  <c r="Z528" i="2"/>
  <c r="Z529" i="2"/>
  <c r="Z530" i="2"/>
  <c r="Z531" i="2"/>
  <c r="Z532" i="2"/>
  <c r="Z533" i="2"/>
  <c r="Z534" i="2"/>
  <c r="Z535" i="2"/>
  <c r="Z536" i="2"/>
  <c r="Z537" i="2"/>
  <c r="Z538" i="2"/>
  <c r="Z539" i="2"/>
  <c r="Z540" i="2"/>
  <c r="Z541" i="2"/>
  <c r="Z542" i="2"/>
  <c r="Z543" i="2"/>
  <c r="Z544" i="2"/>
  <c r="Z545" i="2"/>
  <c r="Z546" i="2"/>
  <c r="Z547" i="2"/>
  <c r="Z548" i="2"/>
  <c r="Z549" i="2"/>
  <c r="Z550" i="2"/>
  <c r="Z551" i="2"/>
  <c r="Z552" i="2"/>
  <c r="Z553" i="2"/>
  <c r="Z554" i="2"/>
  <c r="Z555" i="2"/>
  <c r="Z556" i="2"/>
  <c r="Z557" i="2"/>
  <c r="Z558" i="2"/>
  <c r="Z559" i="2"/>
  <c r="Z560" i="2"/>
  <c r="Z561" i="2"/>
  <c r="Z562" i="2"/>
  <c r="Z563" i="2"/>
  <c r="Z564" i="2"/>
  <c r="Z565" i="2"/>
  <c r="Z566" i="2"/>
  <c r="Z567" i="2"/>
  <c r="Z568" i="2"/>
  <c r="Z569" i="2"/>
  <c r="Z570" i="2"/>
  <c r="Z571" i="2"/>
  <c r="Z572" i="2"/>
  <c r="Z573" i="2"/>
  <c r="Z574" i="2"/>
  <c r="Z575" i="2"/>
  <c r="Z576" i="2"/>
  <c r="Z577" i="2"/>
  <c r="Z578" i="2"/>
  <c r="Z579" i="2"/>
  <c r="Z580" i="2"/>
  <c r="Z581" i="2"/>
  <c r="Z582" i="2"/>
  <c r="Z583" i="2"/>
  <c r="Z584" i="2"/>
  <c r="Z585" i="2"/>
  <c r="Z586" i="2"/>
  <c r="Z587" i="2"/>
  <c r="Z588" i="2"/>
  <c r="Z589" i="2"/>
  <c r="Z590" i="2"/>
  <c r="Z591" i="2"/>
  <c r="Z592" i="2"/>
  <c r="Z593" i="2"/>
  <c r="Z594" i="2"/>
  <c r="Z595" i="2"/>
  <c r="Z596" i="2"/>
  <c r="Z597" i="2"/>
  <c r="Z598" i="2"/>
  <c r="Z599" i="2"/>
  <c r="Z600" i="2"/>
  <c r="Z601" i="2"/>
  <c r="Z602" i="2"/>
  <c r="Z603" i="2"/>
  <c r="Z604" i="2"/>
  <c r="Z605" i="2"/>
  <c r="Z606" i="2"/>
  <c r="Z607" i="2"/>
  <c r="Z608" i="2"/>
  <c r="Z609" i="2"/>
  <c r="Z610" i="2"/>
  <c r="Z611" i="2"/>
  <c r="Z612" i="2"/>
  <c r="Z613" i="2"/>
  <c r="Z614" i="2"/>
  <c r="Z615" i="2"/>
  <c r="Z616" i="2"/>
  <c r="Z617" i="2"/>
  <c r="Z618" i="2"/>
  <c r="Z619" i="2"/>
  <c r="Z620" i="2"/>
  <c r="Z621" i="2"/>
  <c r="Z622" i="2"/>
  <c r="Z623" i="2"/>
  <c r="Z624" i="2"/>
  <c r="Z625" i="2"/>
  <c r="Z626" i="2"/>
  <c r="Z627" i="2"/>
  <c r="Z628" i="2"/>
  <c r="Z629" i="2"/>
  <c r="Z630" i="2"/>
  <c r="Z631" i="2"/>
  <c r="Z632" i="2"/>
  <c r="Z633" i="2"/>
  <c r="Z634" i="2"/>
  <c r="Z635" i="2"/>
  <c r="Z636" i="2"/>
  <c r="Z637" i="2"/>
  <c r="Z638" i="2"/>
  <c r="Z639" i="2"/>
  <c r="Z640" i="2"/>
  <c r="Z641" i="2"/>
  <c r="Z642" i="2"/>
  <c r="Z643" i="2"/>
  <c r="Z644" i="2"/>
  <c r="Z645" i="2"/>
  <c r="Z646" i="2"/>
  <c r="Z647" i="2"/>
  <c r="Z648" i="2"/>
  <c r="Z649" i="2"/>
  <c r="Z650" i="2"/>
  <c r="Z651" i="2"/>
  <c r="Z652" i="2"/>
  <c r="Z653" i="2"/>
  <c r="Z654" i="2"/>
  <c r="Z655" i="2"/>
  <c r="Z656" i="2"/>
  <c r="Z657" i="2"/>
  <c r="Z658" i="2"/>
  <c r="Z659" i="2"/>
  <c r="Z660" i="2"/>
  <c r="Z661" i="2"/>
  <c r="Z662" i="2"/>
  <c r="Z663" i="2"/>
  <c r="Z664" i="2"/>
  <c r="Z665" i="2"/>
  <c r="Z666" i="2"/>
  <c r="Z667" i="2"/>
  <c r="Z668" i="2"/>
  <c r="Z669" i="2"/>
  <c r="Z670" i="2"/>
  <c r="Z671" i="2"/>
  <c r="Z672" i="2"/>
  <c r="Z673" i="2"/>
  <c r="Z674" i="2"/>
  <c r="Z675" i="2"/>
  <c r="Z676" i="2"/>
  <c r="Z677" i="2"/>
  <c r="Z678" i="2"/>
  <c r="Z679" i="2"/>
  <c r="Z680" i="2"/>
  <c r="Z681" i="2"/>
  <c r="Z682" i="2"/>
  <c r="Z683" i="2"/>
  <c r="Z684" i="2"/>
  <c r="Z685" i="2"/>
  <c r="Z686" i="2"/>
  <c r="Z687" i="2"/>
  <c r="Z688" i="2"/>
  <c r="Z689" i="2"/>
  <c r="Z690" i="2"/>
  <c r="Z691" i="2"/>
  <c r="Z692" i="2"/>
  <c r="Z693" i="2"/>
  <c r="Z694" i="2"/>
  <c r="Z695" i="2"/>
  <c r="Z696" i="2"/>
  <c r="Z697" i="2"/>
  <c r="Z698" i="2"/>
  <c r="Z699" i="2"/>
  <c r="Z700" i="2"/>
  <c r="Z701" i="2"/>
  <c r="Z702" i="2"/>
  <c r="Z703" i="2"/>
  <c r="Z704" i="2"/>
  <c r="Z705" i="2"/>
  <c r="Z706" i="2"/>
  <c r="Z707" i="2"/>
  <c r="Z708" i="2"/>
  <c r="Z709" i="2"/>
  <c r="Z710" i="2"/>
  <c r="Z711" i="2"/>
  <c r="Z712" i="2"/>
  <c r="Z713" i="2"/>
  <c r="Z714" i="2"/>
  <c r="Z715" i="2"/>
  <c r="Z716" i="2"/>
  <c r="Z717" i="2"/>
  <c r="Z718" i="2"/>
  <c r="Z719" i="2"/>
  <c r="Z720" i="2"/>
  <c r="Z721" i="2"/>
  <c r="Z722" i="2"/>
  <c r="Z723" i="2"/>
  <c r="Z724" i="2"/>
  <c r="Z725" i="2"/>
  <c r="Z726" i="2"/>
  <c r="Z727" i="2"/>
  <c r="Z728" i="2"/>
  <c r="Z729" i="2"/>
  <c r="Z730" i="2"/>
  <c r="Z731" i="2"/>
  <c r="Z732" i="2"/>
  <c r="Z733" i="2"/>
  <c r="Z734" i="2"/>
  <c r="Z735" i="2"/>
  <c r="Z736" i="2"/>
  <c r="Z737" i="2"/>
  <c r="Z738" i="2"/>
  <c r="Z739" i="2"/>
  <c r="Z740" i="2"/>
  <c r="Z741" i="2"/>
  <c r="Z742" i="2"/>
  <c r="Z743" i="2"/>
  <c r="Z744" i="2"/>
  <c r="Z745" i="2"/>
  <c r="Z746" i="2"/>
  <c r="Z747" i="2"/>
  <c r="Z748" i="2"/>
  <c r="Z749" i="2"/>
  <c r="Z750" i="2"/>
  <c r="Z751" i="2"/>
  <c r="Z752" i="2"/>
  <c r="Z753" i="2"/>
  <c r="Z754" i="2"/>
  <c r="Z755" i="2"/>
  <c r="Z756" i="2"/>
  <c r="Z757" i="2"/>
  <c r="Z758" i="2"/>
  <c r="Z759" i="2"/>
  <c r="Z760" i="2"/>
  <c r="Z761" i="2"/>
  <c r="Z762" i="2"/>
  <c r="Z763" i="2"/>
  <c r="Z764" i="2"/>
  <c r="Z765" i="2"/>
  <c r="Z766" i="2"/>
  <c r="Z767" i="2"/>
  <c r="Z768" i="2"/>
  <c r="Z769" i="2"/>
  <c r="Z770" i="2"/>
  <c r="Z771" i="2"/>
  <c r="Z772" i="2"/>
  <c r="Z773" i="2"/>
  <c r="Z774" i="2"/>
  <c r="Z775" i="2"/>
  <c r="Z776" i="2"/>
  <c r="Z777" i="2"/>
  <c r="Z778" i="2"/>
  <c r="Z779" i="2"/>
  <c r="Z780" i="2"/>
  <c r="Z781" i="2"/>
  <c r="Z782" i="2"/>
  <c r="Z783" i="2"/>
  <c r="Z784" i="2"/>
  <c r="Z785" i="2"/>
  <c r="Z786" i="2"/>
  <c r="Z787" i="2"/>
  <c r="Z788" i="2"/>
  <c r="Z789" i="2"/>
  <c r="Z790" i="2"/>
  <c r="Z791" i="2"/>
  <c r="Z792" i="2"/>
  <c r="Z793" i="2"/>
  <c r="Z794" i="2"/>
  <c r="Z795" i="2"/>
  <c r="Z796" i="2"/>
  <c r="Z797" i="2"/>
  <c r="Z798" i="2"/>
  <c r="Z799" i="2"/>
  <c r="Z800" i="2"/>
  <c r="Z801" i="2"/>
  <c r="Z802" i="2"/>
  <c r="Z803" i="2"/>
  <c r="Z804" i="2"/>
  <c r="Z805" i="2"/>
  <c r="Z806" i="2"/>
  <c r="Z807" i="2"/>
  <c r="Z808" i="2"/>
  <c r="Z809" i="2"/>
  <c r="Z810" i="2"/>
  <c r="Z811" i="2"/>
  <c r="Z812" i="2"/>
  <c r="Z813" i="2"/>
  <c r="Z814" i="2"/>
  <c r="Z815" i="2"/>
  <c r="Z816" i="2"/>
  <c r="Z817" i="2"/>
  <c r="Z818" i="2"/>
  <c r="Z819" i="2"/>
  <c r="Z820" i="2"/>
  <c r="Z821" i="2"/>
  <c r="Z822" i="2"/>
  <c r="Z823" i="2"/>
  <c r="Z824" i="2"/>
  <c r="Z825" i="2"/>
  <c r="Z826" i="2"/>
  <c r="Z827" i="2"/>
  <c r="Z828" i="2"/>
  <c r="Z829" i="2"/>
  <c r="Z830" i="2"/>
  <c r="Z831" i="2"/>
  <c r="Z832" i="2"/>
  <c r="Z833" i="2"/>
  <c r="Z834" i="2"/>
  <c r="Z835" i="2"/>
  <c r="Z836" i="2"/>
  <c r="Z837" i="2"/>
  <c r="Z838" i="2"/>
  <c r="Z839" i="2"/>
  <c r="Z840" i="2"/>
  <c r="Z841" i="2"/>
  <c r="Z842" i="2"/>
  <c r="Z843" i="2"/>
  <c r="Z844" i="2"/>
  <c r="Z845" i="2"/>
  <c r="Z846" i="2"/>
  <c r="Z847" i="2"/>
  <c r="Z848" i="2"/>
  <c r="Z849" i="2"/>
  <c r="Z850" i="2"/>
  <c r="Z851" i="2"/>
  <c r="Z852" i="2"/>
  <c r="Z853" i="2"/>
  <c r="Z854" i="2"/>
  <c r="Z855" i="2"/>
  <c r="Z856" i="2"/>
  <c r="Z857" i="2"/>
  <c r="Z858" i="2"/>
  <c r="Z859" i="2"/>
  <c r="Z860" i="2"/>
  <c r="Z861" i="2"/>
  <c r="Z862" i="2"/>
  <c r="Z863" i="2"/>
  <c r="Z864" i="2"/>
  <c r="Z865" i="2"/>
  <c r="Z866" i="2"/>
  <c r="Z867" i="2"/>
  <c r="Z868" i="2"/>
  <c r="Z869" i="2"/>
  <c r="Z870" i="2"/>
  <c r="Z871" i="2"/>
  <c r="Z872" i="2"/>
  <c r="Z873" i="2"/>
  <c r="Z874" i="2"/>
  <c r="Z875" i="2"/>
  <c r="Z876" i="2"/>
  <c r="Z877" i="2"/>
  <c r="Z878" i="2"/>
  <c r="Z879" i="2"/>
  <c r="Z880" i="2"/>
  <c r="Z881" i="2"/>
  <c r="Z882" i="2"/>
  <c r="Z883" i="2"/>
  <c r="Z884" i="2"/>
  <c r="Z885" i="2"/>
  <c r="Z886" i="2"/>
  <c r="Z887" i="2"/>
  <c r="Z888" i="2"/>
  <c r="Z889" i="2"/>
  <c r="Z890" i="2"/>
  <c r="Z891" i="2"/>
  <c r="Z892" i="2"/>
  <c r="Z893" i="2"/>
  <c r="Z894" i="2"/>
  <c r="Z896" i="2"/>
  <c r="Z897" i="2"/>
  <c r="Z898" i="2"/>
  <c r="Z899" i="2"/>
  <c r="Z900" i="2"/>
  <c r="Z901" i="2"/>
  <c r="Z902" i="2"/>
  <c r="Z903" i="2"/>
  <c r="Z904" i="2"/>
  <c r="Z905" i="2"/>
  <c r="Z906" i="2"/>
  <c r="Z907" i="2"/>
  <c r="Z908" i="2"/>
  <c r="Z909" i="2"/>
  <c r="Z910" i="2"/>
  <c r="Z911" i="2"/>
  <c r="Z912" i="2"/>
  <c r="Z913" i="2"/>
  <c r="Z914" i="2"/>
  <c r="Z915" i="2"/>
  <c r="Z916" i="2"/>
  <c r="Z917" i="2"/>
  <c r="Z918" i="2"/>
  <c r="Z919" i="2"/>
  <c r="Z920" i="2"/>
  <c r="Z921" i="2"/>
  <c r="Z922" i="2"/>
  <c r="Z923" i="2"/>
  <c r="Z924" i="2"/>
  <c r="Z925" i="2"/>
  <c r="Z926" i="2"/>
  <c r="Z927" i="2"/>
  <c r="Z928" i="2"/>
  <c r="Z929" i="2"/>
  <c r="Z930" i="2"/>
  <c r="Z931" i="2"/>
  <c r="Z932" i="2"/>
  <c r="Z933" i="2"/>
  <c r="Z934" i="2"/>
  <c r="Z935" i="2"/>
  <c r="Z936" i="2"/>
  <c r="Z937" i="2"/>
  <c r="Z938" i="2"/>
  <c r="Z939" i="2"/>
  <c r="Z940" i="2"/>
  <c r="Z941" i="2"/>
  <c r="Z942" i="2"/>
  <c r="Z943" i="2"/>
  <c r="Z944" i="2"/>
  <c r="Z945" i="2"/>
  <c r="Z946" i="2"/>
  <c r="Z947" i="2"/>
  <c r="Z948" i="2"/>
  <c r="Z949" i="2"/>
  <c r="Z950" i="2"/>
  <c r="Z951" i="2"/>
  <c r="Z952" i="2"/>
  <c r="Z953" i="2"/>
  <c r="Z954" i="2"/>
  <c r="Z955" i="2"/>
  <c r="Z956" i="2"/>
  <c r="Z957" i="2"/>
  <c r="Z958" i="2"/>
  <c r="Z959" i="2"/>
  <c r="Z960" i="2"/>
  <c r="Z961" i="2"/>
  <c r="Z962" i="2"/>
  <c r="Z963" i="2"/>
  <c r="Z964" i="2"/>
  <c r="Z965" i="2"/>
  <c r="Z966" i="2"/>
  <c r="Z967" i="2"/>
  <c r="Z968" i="2"/>
  <c r="Z969" i="2"/>
  <c r="Z970" i="2"/>
  <c r="Z971" i="2"/>
  <c r="Z972" i="2"/>
  <c r="Z973" i="2"/>
  <c r="Z974" i="2"/>
  <c r="Z975" i="2"/>
  <c r="Z976" i="2"/>
  <c r="Z977" i="2"/>
  <c r="Z978" i="2"/>
  <c r="Z979" i="2"/>
  <c r="Z980" i="2"/>
  <c r="Z981" i="2"/>
  <c r="Z982" i="2"/>
  <c r="Z983" i="2"/>
  <c r="Z984" i="2"/>
  <c r="Z985" i="2"/>
  <c r="Z986" i="2"/>
  <c r="Z987" i="2"/>
  <c r="Z988" i="2"/>
  <c r="Z989" i="2"/>
  <c r="Z990" i="2"/>
  <c r="Z991" i="2"/>
  <c r="Z992" i="2"/>
  <c r="Z993" i="2"/>
  <c r="Z994" i="2"/>
  <c r="Z995" i="2"/>
  <c r="Z996" i="2"/>
  <c r="Z997" i="2"/>
  <c r="Z998" i="2"/>
  <c r="Z999" i="2"/>
  <c r="Z1000" i="2"/>
  <c r="Z1001" i="2"/>
  <c r="Z1002" i="2"/>
  <c r="Z1003" i="2"/>
  <c r="Z1004" i="2"/>
  <c r="Z1005" i="2"/>
  <c r="Z1006" i="2"/>
  <c r="Z1007" i="2"/>
  <c r="Z1008" i="2"/>
  <c r="Z1009" i="2"/>
  <c r="Z1010" i="2"/>
  <c r="Z1011" i="2"/>
  <c r="Z1012" i="2"/>
  <c r="Z1013" i="2"/>
  <c r="Z1014" i="2"/>
  <c r="Z1015" i="2"/>
  <c r="Z1016" i="2"/>
  <c r="Z1017" i="2"/>
  <c r="Z1018" i="2"/>
  <c r="Z1019" i="2"/>
  <c r="Z1020" i="2"/>
  <c r="Z1021" i="2"/>
  <c r="Z1022" i="2"/>
  <c r="Z1023" i="2"/>
  <c r="Z1024" i="2"/>
  <c r="Z1025" i="2"/>
  <c r="Z1026" i="2"/>
  <c r="Z1027" i="2"/>
  <c r="Z1028" i="2"/>
  <c r="Z1029" i="2"/>
  <c r="Z1030" i="2"/>
  <c r="Z1031" i="2"/>
  <c r="Z1032" i="2"/>
  <c r="Z1033" i="2"/>
  <c r="Z1034" i="2"/>
  <c r="Z1035" i="2"/>
  <c r="Z1036" i="2"/>
  <c r="Z1037" i="2"/>
  <c r="Z1038" i="2"/>
  <c r="Z1039" i="2"/>
  <c r="Z1040" i="2"/>
  <c r="Z1041" i="2"/>
  <c r="Z1042" i="2"/>
  <c r="Z1043" i="2"/>
  <c r="Z1044" i="2"/>
  <c r="Z1045" i="2"/>
  <c r="Z1046" i="2"/>
  <c r="Z1047" i="2"/>
  <c r="Z1048" i="2"/>
  <c r="Z1049" i="2"/>
  <c r="Z1050" i="2"/>
  <c r="Z1051" i="2"/>
  <c r="Z1052" i="2"/>
  <c r="Z1053" i="2"/>
  <c r="Z1054" i="2"/>
  <c r="Z1055" i="2"/>
  <c r="Z1056" i="2"/>
  <c r="Z1057" i="2"/>
  <c r="Z1058" i="2"/>
  <c r="Z1059" i="2"/>
  <c r="Z1060" i="2"/>
  <c r="Z1061" i="2"/>
  <c r="Z1062" i="2"/>
  <c r="Z1063" i="2"/>
  <c r="Z1064" i="2"/>
  <c r="Z1065" i="2"/>
  <c r="Z1066" i="2"/>
  <c r="Z1067" i="2"/>
  <c r="Z1068" i="2"/>
  <c r="Z1069" i="2"/>
  <c r="Z1070" i="2"/>
  <c r="Z1071" i="2"/>
  <c r="Z1072" i="2"/>
  <c r="Z1073" i="2"/>
  <c r="Z1074" i="2"/>
  <c r="Z1075" i="2"/>
  <c r="Z1076" i="2"/>
  <c r="Z1077" i="2"/>
  <c r="Z1078" i="2"/>
  <c r="Z1079" i="2"/>
  <c r="Z1080" i="2"/>
  <c r="Z1081" i="2"/>
  <c r="Z1082" i="2"/>
  <c r="Z1083" i="2"/>
  <c r="Z1084" i="2"/>
  <c r="Z1085" i="2"/>
  <c r="Z1086" i="2"/>
  <c r="Z1087" i="2"/>
  <c r="Z1088" i="2"/>
  <c r="Z1089" i="2"/>
  <c r="Z1090" i="2"/>
  <c r="Z1091" i="2"/>
  <c r="Z1092" i="2"/>
  <c r="Z1093" i="2"/>
  <c r="Z1094" i="2"/>
  <c r="Z1095" i="2"/>
  <c r="Z1096" i="2"/>
  <c r="Z1097" i="2"/>
  <c r="Z1098" i="2"/>
  <c r="Z1099" i="2"/>
  <c r="Z1100" i="2"/>
  <c r="Z1101" i="2"/>
  <c r="Z1102" i="2"/>
  <c r="Z1103" i="2"/>
  <c r="Z1104" i="2"/>
  <c r="Z1105" i="2"/>
  <c r="Z1106" i="2"/>
  <c r="Z1107" i="2"/>
  <c r="Z1108" i="2"/>
  <c r="Z1109" i="2"/>
  <c r="Z1110" i="2"/>
  <c r="Z1111" i="2"/>
  <c r="Z1112" i="2"/>
  <c r="Z1113" i="2"/>
  <c r="Z1114" i="2"/>
  <c r="Z1115" i="2"/>
  <c r="Z1116" i="2"/>
  <c r="Z1117" i="2"/>
  <c r="Z1118" i="2"/>
  <c r="Z1119" i="2"/>
  <c r="Z1120" i="2"/>
  <c r="Z1121" i="2"/>
  <c r="Z1122" i="2"/>
  <c r="Z1123" i="2"/>
  <c r="Z1124" i="2"/>
  <c r="Z1125" i="2"/>
  <c r="Z1126" i="2"/>
  <c r="Z1127" i="2"/>
  <c r="Z1128" i="2"/>
  <c r="Z1129" i="2"/>
  <c r="Z1130" i="2"/>
  <c r="Z1131" i="2"/>
  <c r="Z1132" i="2"/>
  <c r="Z1133" i="2"/>
  <c r="Z1134" i="2"/>
  <c r="Z1135" i="2"/>
  <c r="Z1136" i="2"/>
  <c r="Z1137" i="2"/>
  <c r="Z1138" i="2"/>
  <c r="Z1139" i="2"/>
  <c r="Z1140" i="2"/>
  <c r="Z1141" i="2"/>
  <c r="Z1142" i="2"/>
  <c r="Z1143" i="2"/>
  <c r="Z1144" i="2"/>
  <c r="Z1145" i="2"/>
  <c r="Z1146" i="2"/>
  <c r="Z1147" i="2"/>
  <c r="Z1148" i="2"/>
  <c r="Z1149" i="2"/>
  <c r="Z1150" i="2"/>
  <c r="Z1151" i="2"/>
  <c r="Z1152" i="2"/>
  <c r="Z1153" i="2"/>
  <c r="Z1154" i="2"/>
  <c r="Z1155" i="2"/>
  <c r="Z1156" i="2"/>
  <c r="Z1157" i="2"/>
  <c r="Z1158" i="2"/>
  <c r="Z1159" i="2"/>
  <c r="Z1160" i="2"/>
  <c r="Z1161" i="2"/>
  <c r="Z1162" i="2"/>
  <c r="Z1163" i="2"/>
  <c r="Z1164" i="2"/>
  <c r="Z1165" i="2"/>
  <c r="Z1166" i="2"/>
  <c r="Z1167" i="2"/>
  <c r="Z1168" i="2"/>
  <c r="Z1169" i="2"/>
  <c r="Z1170" i="2"/>
  <c r="Z1171" i="2"/>
  <c r="Z1172" i="2"/>
  <c r="Z1173" i="2"/>
  <c r="Z1174" i="2"/>
  <c r="Z1175" i="2"/>
  <c r="Z1176" i="2"/>
  <c r="Z1177" i="2"/>
  <c r="Z1178" i="2"/>
  <c r="Z1179" i="2"/>
  <c r="Z1180" i="2"/>
  <c r="Z1181" i="2"/>
  <c r="Z1182" i="2"/>
  <c r="Z1183" i="2"/>
  <c r="Z1184" i="2"/>
  <c r="Z1185" i="2"/>
  <c r="Z1186" i="2"/>
  <c r="Z1187" i="2"/>
  <c r="Z1188" i="2"/>
  <c r="Z1189" i="2"/>
  <c r="Z1190" i="2"/>
  <c r="Z1191" i="2"/>
  <c r="Z1192" i="2"/>
  <c r="Z1193" i="2"/>
  <c r="Z1194" i="2"/>
  <c r="Z1195" i="2"/>
  <c r="Z1196" i="2"/>
  <c r="Z1197" i="2"/>
  <c r="Z1198" i="2"/>
  <c r="Z1199" i="2"/>
  <c r="Z1200" i="2"/>
  <c r="Z1201" i="2"/>
  <c r="Z1202" i="2"/>
  <c r="Z1203" i="2"/>
  <c r="Z1204" i="2"/>
  <c r="Z1205" i="2"/>
  <c r="Z1206" i="2"/>
  <c r="Z1207" i="2"/>
  <c r="Z1208" i="2"/>
  <c r="Z1209" i="2"/>
  <c r="Z1210" i="2"/>
  <c r="Z1211" i="2"/>
  <c r="Z1212" i="2"/>
  <c r="Z1213" i="2"/>
  <c r="Z1214" i="2"/>
  <c r="Z1215" i="2"/>
  <c r="Z1216" i="2"/>
  <c r="Z1217" i="2"/>
  <c r="Z1218" i="2"/>
  <c r="Z1219" i="2"/>
  <c r="Z1220" i="2"/>
  <c r="Z1221" i="2"/>
  <c r="Z1222" i="2"/>
  <c r="Z1223" i="2"/>
  <c r="Z1224" i="2"/>
  <c r="Z1225" i="2"/>
  <c r="Z1226" i="2"/>
  <c r="Z1227" i="2"/>
  <c r="Z1228" i="2"/>
  <c r="Z1229" i="2"/>
  <c r="Z1230" i="2"/>
  <c r="Z1231" i="2"/>
  <c r="Z1232" i="2"/>
  <c r="Z1233" i="2"/>
  <c r="Z1234" i="2"/>
  <c r="Z1235" i="2"/>
  <c r="Z1236" i="2"/>
  <c r="Z1237" i="2"/>
  <c r="Z1238" i="2"/>
  <c r="Z1239" i="2"/>
  <c r="Z1240" i="2"/>
  <c r="Z1241" i="2"/>
  <c r="Z1242" i="2"/>
  <c r="Z1243" i="2"/>
  <c r="Z1244" i="2"/>
  <c r="Z1245" i="2"/>
  <c r="Z1246" i="2"/>
  <c r="Z1247" i="2"/>
  <c r="Z1248" i="2"/>
  <c r="Z1249" i="2"/>
  <c r="Z1250" i="2"/>
  <c r="Z1251" i="2"/>
  <c r="Z1252" i="2"/>
  <c r="Z1253" i="2"/>
  <c r="Z1254" i="2"/>
  <c r="Z1255" i="2"/>
  <c r="Z1256" i="2"/>
  <c r="Z1257" i="2"/>
  <c r="Z1258" i="2"/>
  <c r="Z1259" i="2"/>
  <c r="Z1260" i="2"/>
  <c r="Z1261" i="2"/>
  <c r="Z1262" i="2"/>
  <c r="Z1263" i="2"/>
  <c r="Z1264" i="2"/>
  <c r="Z1265" i="2"/>
  <c r="Z1266" i="2"/>
  <c r="Z1267" i="2"/>
  <c r="Z1268" i="2"/>
  <c r="Z1269" i="2"/>
  <c r="Z1270" i="2"/>
  <c r="Z1271" i="2"/>
  <c r="Z1272" i="2"/>
  <c r="Z1273" i="2"/>
  <c r="Z1274" i="2"/>
  <c r="Z1275" i="2"/>
  <c r="Z1276" i="2"/>
  <c r="Z1277" i="2"/>
  <c r="Z1278" i="2"/>
  <c r="Z1279" i="2"/>
  <c r="Z1280" i="2"/>
  <c r="Z1281" i="2"/>
  <c r="Z1282" i="2"/>
  <c r="Z1283" i="2"/>
  <c r="Z1284" i="2"/>
  <c r="Z1285" i="2"/>
  <c r="Z1286" i="2"/>
  <c r="Z1287" i="2"/>
  <c r="Z1288" i="2"/>
  <c r="Z1289" i="2"/>
  <c r="Z1290" i="2"/>
  <c r="Z1291" i="2"/>
  <c r="Z1292" i="2"/>
  <c r="Z1293" i="2"/>
  <c r="Z1294" i="2"/>
  <c r="Z1295" i="2"/>
  <c r="Z1296" i="2"/>
  <c r="Z1297" i="2"/>
  <c r="Z1298" i="2"/>
  <c r="Z1299" i="2"/>
  <c r="Z1300" i="2"/>
  <c r="Z1301" i="2"/>
  <c r="Z1302" i="2"/>
  <c r="Z1303" i="2"/>
  <c r="Z1304" i="2"/>
  <c r="Z1305" i="2"/>
  <c r="Z1306" i="2"/>
  <c r="Z1307" i="2"/>
  <c r="Z1308" i="2"/>
  <c r="Z1309" i="2"/>
  <c r="Z1310" i="2"/>
  <c r="Z1311" i="2"/>
  <c r="Z1312" i="2"/>
  <c r="Z1313" i="2"/>
  <c r="Z1314" i="2"/>
  <c r="Z1315" i="2"/>
  <c r="Z1316" i="2"/>
  <c r="Z1317" i="2"/>
  <c r="Z1318" i="2"/>
  <c r="Z1319" i="2"/>
  <c r="Z1320" i="2"/>
  <c r="Z1321" i="2"/>
  <c r="Z1322" i="2"/>
  <c r="Z1323" i="2"/>
  <c r="Z1324" i="2"/>
  <c r="Z1325" i="2"/>
  <c r="Z1326" i="2"/>
  <c r="Z1327" i="2"/>
  <c r="Z1328" i="2"/>
  <c r="Z1329" i="2"/>
  <c r="Z1330" i="2"/>
  <c r="Z1331" i="2"/>
  <c r="Z1332" i="2"/>
  <c r="Z1333" i="2"/>
  <c r="Z1334" i="2"/>
  <c r="Z1335" i="2"/>
  <c r="Z1336" i="2"/>
  <c r="Z1337" i="2"/>
  <c r="Z1338" i="2"/>
  <c r="Z1339" i="2"/>
  <c r="Z1340" i="2"/>
  <c r="Z1341" i="2"/>
  <c r="Z1342" i="2"/>
  <c r="Z1343" i="2"/>
  <c r="Z1344" i="2"/>
  <c r="Z1345" i="2"/>
  <c r="Z1346" i="2"/>
  <c r="Z1347" i="2"/>
  <c r="Z1348" i="2"/>
  <c r="Z1349" i="2"/>
  <c r="Z1350" i="2"/>
  <c r="Z1351" i="2"/>
  <c r="Z1352" i="2"/>
  <c r="Z1353" i="2"/>
  <c r="Z1354" i="2"/>
  <c r="Z1355" i="2"/>
  <c r="Z1356" i="2"/>
  <c r="Z1357" i="2"/>
  <c r="Z1358" i="2"/>
  <c r="Z1359" i="2"/>
  <c r="Z1360" i="2"/>
  <c r="Z1361" i="2"/>
  <c r="Z1362" i="2"/>
  <c r="Z1363" i="2"/>
  <c r="Z1364" i="2"/>
  <c r="Z1365" i="2"/>
  <c r="Z1366" i="2"/>
  <c r="Z1367" i="2"/>
  <c r="Z1368" i="2"/>
  <c r="Z1369" i="2"/>
  <c r="Z1370" i="2"/>
  <c r="Z1371" i="2"/>
  <c r="Z1372" i="2"/>
  <c r="Z1373" i="2"/>
  <c r="Z1374" i="2"/>
  <c r="Z1375" i="2"/>
  <c r="Z1376" i="2"/>
  <c r="Z1377" i="2"/>
  <c r="Z1378" i="2"/>
  <c r="Z1379" i="2"/>
  <c r="Z1380" i="2"/>
  <c r="Z1381" i="2"/>
  <c r="Z1382" i="2"/>
  <c r="Z1383" i="2"/>
  <c r="Z1384" i="2"/>
  <c r="Z1385" i="2"/>
  <c r="Z1386" i="2"/>
  <c r="Z1387" i="2"/>
  <c r="Z1388" i="2"/>
  <c r="Z1389" i="2"/>
  <c r="Z1390" i="2"/>
  <c r="Z1391" i="2"/>
  <c r="Z1392" i="2"/>
  <c r="Z1393" i="2"/>
  <c r="Z1394" i="2"/>
  <c r="Z1395" i="2"/>
  <c r="Z1396" i="2"/>
  <c r="Z1397" i="2"/>
  <c r="Z1398" i="2"/>
  <c r="Z1399" i="2"/>
  <c r="Z1400" i="2"/>
  <c r="Z1401" i="2"/>
  <c r="Z1402" i="2"/>
  <c r="Z1403" i="2"/>
  <c r="Z1404" i="2"/>
  <c r="Z1405" i="2"/>
  <c r="Z1406" i="2"/>
  <c r="Z1407" i="2"/>
  <c r="Z1408" i="2"/>
  <c r="Z1409" i="2"/>
  <c r="Z1410" i="2"/>
  <c r="Z1411" i="2"/>
  <c r="Z1412" i="2"/>
  <c r="Z1413" i="2"/>
  <c r="Z1414" i="2"/>
  <c r="Z1415" i="2"/>
  <c r="Z1416" i="2"/>
  <c r="Z1417" i="2"/>
  <c r="Z1418" i="2"/>
  <c r="Z1419" i="2"/>
  <c r="Z1420" i="2"/>
  <c r="Z1421" i="2"/>
  <c r="Z1422" i="2"/>
  <c r="Z1423" i="2"/>
  <c r="Z1424" i="2"/>
  <c r="Z1425" i="2"/>
  <c r="Z1426" i="2"/>
  <c r="Z1427" i="2"/>
  <c r="Z1428" i="2"/>
  <c r="Z1429" i="2"/>
  <c r="Z1430" i="2"/>
  <c r="Z1431" i="2"/>
  <c r="Z1432" i="2"/>
  <c r="Z1433" i="2"/>
  <c r="Z1434" i="2"/>
  <c r="Z1435" i="2"/>
  <c r="Z1436" i="2"/>
  <c r="Z1437" i="2"/>
  <c r="Z1438" i="2"/>
  <c r="Z1439" i="2"/>
  <c r="Z1440" i="2"/>
  <c r="Z1441" i="2"/>
  <c r="Z1442" i="2"/>
  <c r="Z1443" i="2"/>
  <c r="Z1444" i="2"/>
  <c r="Z1445" i="2"/>
  <c r="Z1446" i="2"/>
  <c r="Z1447" i="2"/>
  <c r="Z1448" i="2"/>
  <c r="Z1449" i="2"/>
  <c r="Z1450" i="2"/>
  <c r="Z1451" i="2"/>
  <c r="Z1452" i="2"/>
  <c r="Z1453" i="2"/>
  <c r="Z1454" i="2"/>
  <c r="Z1455" i="2"/>
  <c r="Z1456" i="2"/>
  <c r="Z1457" i="2"/>
  <c r="Z1458" i="2"/>
  <c r="Z1459" i="2"/>
  <c r="Z1460" i="2"/>
  <c r="Z1461" i="2"/>
  <c r="Z1462" i="2"/>
  <c r="Z1463" i="2"/>
  <c r="Z1464" i="2"/>
  <c r="Z1465" i="2"/>
  <c r="Z1466" i="2"/>
  <c r="Z1467" i="2"/>
  <c r="Z1468" i="2"/>
  <c r="Z1469" i="2"/>
  <c r="Z1470" i="2"/>
  <c r="Z1471" i="2"/>
  <c r="Z1472" i="2"/>
  <c r="Z1473" i="2"/>
  <c r="Z1474" i="2"/>
  <c r="Z1475" i="2"/>
  <c r="Z1476" i="2"/>
  <c r="Z1477" i="2"/>
  <c r="Z1478" i="2"/>
  <c r="Z1479" i="2"/>
  <c r="Z1480" i="2"/>
  <c r="Z1481" i="2"/>
  <c r="Z1482" i="2"/>
  <c r="Z1483" i="2"/>
  <c r="Z1484" i="2"/>
  <c r="Z1485" i="2"/>
  <c r="Z1486" i="2"/>
  <c r="Z1487" i="2"/>
  <c r="Z1488" i="2"/>
  <c r="Z1489" i="2"/>
  <c r="Z1490" i="2"/>
  <c r="Z1491" i="2"/>
  <c r="Z1492" i="2"/>
  <c r="Z1493" i="2"/>
  <c r="Z1494" i="2"/>
  <c r="Z1495" i="2"/>
  <c r="Z1496" i="2"/>
  <c r="Z1497" i="2"/>
  <c r="Z1498" i="2"/>
  <c r="Z1499" i="2"/>
  <c r="Z1500" i="2"/>
  <c r="Z1501" i="2"/>
  <c r="Z1502" i="2"/>
  <c r="Z1503" i="2"/>
  <c r="Z1504" i="2"/>
  <c r="Z1505" i="2"/>
  <c r="Z1506" i="2"/>
  <c r="Z1507" i="2"/>
  <c r="Z1508" i="2"/>
  <c r="Z1509" i="2"/>
  <c r="Z1510" i="2"/>
  <c r="Z1511" i="2"/>
  <c r="Z1512" i="2"/>
  <c r="Z1513" i="2"/>
  <c r="Z1514" i="2"/>
  <c r="Z1515" i="2"/>
  <c r="Z1516" i="2"/>
  <c r="Z1517" i="2"/>
  <c r="Z1518" i="2"/>
  <c r="Z1519" i="2"/>
  <c r="Z1520" i="2"/>
  <c r="Z1521" i="2"/>
  <c r="Z1522" i="2"/>
  <c r="Z1523" i="2"/>
  <c r="Z1524" i="2"/>
  <c r="Z1525" i="2"/>
  <c r="Z1526" i="2"/>
  <c r="Z1527" i="2"/>
  <c r="Z1528" i="2"/>
  <c r="Z1529" i="2"/>
  <c r="Z1531" i="2"/>
  <c r="Z1532" i="2"/>
  <c r="Z1533" i="2"/>
  <c r="Z1534" i="2"/>
  <c r="Z1537" i="2"/>
  <c r="Z1538" i="2"/>
  <c r="Z1539" i="2"/>
  <c r="Z1540" i="2"/>
  <c r="Z1541" i="2"/>
  <c r="Z1542" i="2"/>
  <c r="Z1543" i="2"/>
  <c r="Z1544" i="2"/>
  <c r="Z1545" i="2"/>
  <c r="Z1552" i="2"/>
  <c r="Z1553" i="2"/>
  <c r="Z1554" i="2"/>
  <c r="Z1556" i="2"/>
  <c r="Z1557" i="2"/>
  <c r="Z1559" i="2"/>
  <c r="Z1560" i="2"/>
  <c r="Z1561" i="2"/>
  <c r="Z1562" i="2"/>
  <c r="Z1563" i="2"/>
  <c r="Z1564" i="2"/>
  <c r="Z1565" i="2"/>
  <c r="Z1566" i="2"/>
  <c r="Z1567" i="2"/>
  <c r="Z1568" i="2"/>
  <c r="Z1569" i="2"/>
  <c r="Z1570" i="2"/>
  <c r="Z1572" i="2"/>
  <c r="Z1573" i="2"/>
  <c r="Z1577" i="2"/>
  <c r="Z1578" i="2"/>
  <c r="T1521" i="2" l="1"/>
  <c r="V1521" i="2" s="1"/>
  <c r="L1521" i="2"/>
  <c r="L1516" i="2" l="1"/>
  <c r="L1515" i="2"/>
  <c r="T1513" i="2" l="1"/>
  <c r="V1513" i="2" s="1"/>
  <c r="L1513" i="2"/>
  <c r="T1512" i="2"/>
  <c r="V1512" i="2" s="1"/>
  <c r="L1512" i="2"/>
  <c r="AC1506" i="2" l="1"/>
  <c r="AC1505" i="2" l="1"/>
  <c r="L1502" i="2" l="1"/>
  <c r="L1501" i="2"/>
  <c r="T1499" i="2" l="1"/>
  <c r="V1499" i="2" s="1"/>
  <c r="T1498" i="2"/>
  <c r="V1498" i="2" s="1"/>
  <c r="L1498" i="2"/>
  <c r="L1505" i="2"/>
  <c r="T1505" i="2"/>
  <c r="V1505" i="2" s="1"/>
  <c r="L1506" i="2"/>
  <c r="T1506" i="2"/>
  <c r="V1506" i="2" s="1"/>
  <c r="L1507" i="2"/>
  <c r="T1507" i="2"/>
  <c r="V1507" i="2" s="1"/>
  <c r="L1508" i="2"/>
  <c r="T1508" i="2"/>
  <c r="V1508" i="2" s="1"/>
  <c r="L1509" i="2"/>
  <c r="T1509" i="2"/>
  <c r="V1509" i="2" s="1"/>
  <c r="L1510" i="2"/>
  <c r="T1510" i="2"/>
  <c r="V1510" i="2" s="1"/>
  <c r="L1511" i="2"/>
  <c r="T1511" i="2"/>
  <c r="V1511" i="2" s="1"/>
  <c r="L1514" i="2"/>
  <c r="T1514" i="2"/>
  <c r="V1514" i="2" s="1"/>
  <c r="T1515" i="2"/>
  <c r="V1515" i="2" s="1"/>
  <c r="T1516" i="2"/>
  <c r="V1516" i="2" s="1"/>
  <c r="L1517" i="2"/>
  <c r="T1517" i="2"/>
  <c r="V1517" i="2" s="1"/>
  <c r="L1518" i="2"/>
  <c r="T1518" i="2"/>
  <c r="V1518" i="2" s="1"/>
  <c r="L1519" i="2"/>
  <c r="T1519" i="2"/>
  <c r="V1519" i="2" s="1"/>
  <c r="L1520" i="2"/>
  <c r="T1520" i="2"/>
  <c r="V1520" i="2" s="1"/>
  <c r="L1523" i="2"/>
  <c r="T1523" i="2"/>
  <c r="V1523" i="2" s="1"/>
  <c r="L1524" i="2"/>
  <c r="T1524" i="2"/>
  <c r="V1524" i="2" s="1"/>
  <c r="L1525" i="2"/>
  <c r="T1525" i="2"/>
  <c r="V1525" i="2" s="1"/>
  <c r="T1526" i="2"/>
  <c r="V1526" i="2" s="1"/>
  <c r="L1527" i="2"/>
  <c r="T1527" i="2"/>
  <c r="V1527" i="2" s="1"/>
  <c r="L1528" i="2"/>
  <c r="T1528" i="2"/>
  <c r="V1528" i="2" s="1"/>
  <c r="L1529" i="2"/>
  <c r="T1529" i="2"/>
  <c r="V1529" i="2" s="1"/>
  <c r="T1531" i="2"/>
  <c r="V1531" i="2" s="1"/>
  <c r="L1533" i="2"/>
  <c r="T1533" i="2"/>
  <c r="V1533" i="2" s="1"/>
  <c r="L1534" i="2"/>
  <c r="T1534" i="2"/>
  <c r="V1534" i="2" s="1"/>
  <c r="L1536" i="2"/>
  <c r="L1537" i="2"/>
  <c r="T1537" i="2"/>
  <c r="V1537" i="2" s="1"/>
  <c r="L1538" i="2"/>
  <c r="T1538" i="2"/>
  <c r="V1538" i="2" s="1"/>
  <c r="L1539" i="2"/>
  <c r="T1539" i="2"/>
  <c r="V1539" i="2" s="1"/>
  <c r="L1540" i="2"/>
  <c r="T1540" i="2"/>
  <c r="V1540" i="2" s="1"/>
  <c r="T1541" i="2"/>
  <c r="V1541" i="2" s="1"/>
  <c r="L1542" i="2"/>
  <c r="T1542" i="2"/>
  <c r="V1542" i="2" s="1"/>
  <c r="L1543" i="2"/>
  <c r="T1543" i="2"/>
  <c r="V1543" i="2" s="1"/>
  <c r="L1544" i="2"/>
  <c r="T1544" i="2"/>
  <c r="V1544" i="2" s="1"/>
  <c r="L1545" i="2"/>
  <c r="T1545" i="2"/>
  <c r="V1545" i="2" s="1"/>
  <c r="L1546" i="2"/>
  <c r="V1546" i="2"/>
  <c r="L1547" i="2"/>
  <c r="V1547" i="2"/>
  <c r="L1548" i="2"/>
  <c r="V1548" i="2"/>
  <c r="L1549" i="2"/>
  <c r="V1549" i="2"/>
  <c r="L1552" i="2"/>
  <c r="T1552" i="2"/>
  <c r="V1552" i="2" s="1"/>
  <c r="L1553" i="2"/>
  <c r="T1553" i="2"/>
  <c r="V1553" i="2" s="1"/>
  <c r="L1554" i="2"/>
  <c r="T1554" i="2"/>
  <c r="V1554" i="2" s="1"/>
  <c r="L1556" i="2"/>
  <c r="T1556" i="2"/>
  <c r="V1556" i="2" s="1"/>
  <c r="T1557" i="2"/>
  <c r="V1557" i="2" s="1"/>
  <c r="L1559" i="2"/>
  <c r="T1559" i="2"/>
  <c r="V1559" i="2" s="1"/>
  <c r="L1560" i="2"/>
  <c r="T1560" i="2"/>
  <c r="V1560" i="2" s="1"/>
  <c r="L1561" i="2"/>
  <c r="T1561" i="2"/>
  <c r="V1561" i="2" s="1"/>
  <c r="L1562" i="2"/>
  <c r="T1562" i="2"/>
  <c r="V1562" i="2" s="1"/>
  <c r="T1563" i="2"/>
  <c r="V1563" i="2" s="1"/>
  <c r="T1565" i="2"/>
  <c r="V1565" i="2" s="1"/>
  <c r="L1566" i="2"/>
  <c r="T1566" i="2"/>
  <c r="V1566" i="2" s="1"/>
  <c r="L1567" i="2"/>
  <c r="T1567" i="2"/>
  <c r="V1567" i="2" s="1"/>
  <c r="L1568" i="2"/>
  <c r="T1568" i="2"/>
  <c r="V1568" i="2" s="1"/>
  <c r="T1569" i="2"/>
  <c r="V1569" i="2" s="1"/>
  <c r="T1570" i="2"/>
  <c r="V1570" i="2" s="1"/>
  <c r="L1572" i="2"/>
  <c r="T1572" i="2"/>
  <c r="V1572" i="2" s="1"/>
  <c r="T1573" i="2"/>
  <c r="V1573" i="2" s="1"/>
  <c r="L1577" i="2"/>
  <c r="T1577" i="2"/>
  <c r="V1577" i="2" s="1"/>
  <c r="T1578" i="2"/>
  <c r="V1578" i="2" s="1"/>
  <c r="AC1493" i="2" l="1"/>
  <c r="AC1492" i="2"/>
  <c r="T1493" i="2"/>
  <c r="V1493" i="2" s="1"/>
  <c r="T1492" i="2"/>
  <c r="V1492" i="2" s="1"/>
  <c r="L1493" i="2"/>
  <c r="L1492" i="2"/>
  <c r="L1496" i="2"/>
  <c r="L1497" i="2"/>
  <c r="L1489" i="2" l="1"/>
  <c r="T1487" i="2" l="1"/>
  <c r="V1487" i="2" s="1"/>
  <c r="L1487" i="2"/>
  <c r="T1485" i="2" l="1"/>
  <c r="V1485" i="2" s="1"/>
  <c r="L1485" i="2"/>
  <c r="T1484" i="2"/>
  <c r="V1484" i="2" s="1"/>
  <c r="L1484" i="2"/>
  <c r="L1481" i="2" l="1"/>
  <c r="L1479" i="2" l="1"/>
  <c r="T1472" i="2" l="1"/>
  <c r="V1472" i="2" s="1"/>
  <c r="L1472" i="2"/>
  <c r="AC895" i="2" l="1"/>
  <c r="AC896" i="2"/>
  <c r="AC897" i="2"/>
  <c r="AC898" i="2"/>
  <c r="AC899" i="2"/>
  <c r="AC900" i="2"/>
  <c r="AC901" i="2"/>
  <c r="AC902" i="2"/>
  <c r="AC903" i="2"/>
  <c r="AC904" i="2"/>
  <c r="AC905" i="2"/>
  <c r="AC906" i="2"/>
  <c r="AC907" i="2"/>
  <c r="AC908" i="2"/>
  <c r="AC909" i="2"/>
  <c r="AC910" i="2"/>
  <c r="AC911" i="2"/>
  <c r="AC912" i="2"/>
  <c r="AC913" i="2"/>
  <c r="AC914" i="2"/>
  <c r="AC915" i="2"/>
  <c r="AC916" i="2"/>
  <c r="AC917" i="2"/>
  <c r="AC918" i="2"/>
  <c r="AC919" i="2"/>
  <c r="AC920" i="2"/>
  <c r="AC921" i="2"/>
  <c r="AC922" i="2"/>
  <c r="AC923" i="2"/>
  <c r="AC924" i="2"/>
  <c r="AC925" i="2"/>
  <c r="AC926" i="2"/>
  <c r="AC927" i="2"/>
  <c r="AC928" i="2"/>
  <c r="AC929" i="2"/>
  <c r="AC930" i="2"/>
  <c r="AC931" i="2"/>
  <c r="AC932" i="2"/>
  <c r="AC933" i="2"/>
  <c r="AC934" i="2"/>
  <c r="AC935" i="2"/>
  <c r="AC936" i="2"/>
  <c r="AC937" i="2"/>
  <c r="AC938" i="2"/>
  <c r="AC939" i="2"/>
  <c r="AC940" i="2"/>
  <c r="AC941" i="2"/>
  <c r="AC942" i="2"/>
  <c r="AC943" i="2"/>
  <c r="AC944" i="2"/>
  <c r="AC945" i="2"/>
  <c r="AC946" i="2"/>
  <c r="AC947" i="2"/>
  <c r="AC948" i="2"/>
  <c r="AC949" i="2"/>
  <c r="AC950" i="2"/>
  <c r="AC951" i="2"/>
  <c r="AC952" i="2"/>
  <c r="AC953" i="2"/>
  <c r="AC954" i="2"/>
  <c r="AC955" i="2"/>
  <c r="AC956" i="2"/>
  <c r="AC957" i="2"/>
  <c r="AC958" i="2"/>
  <c r="AC959" i="2"/>
  <c r="AC960" i="2"/>
  <c r="AC961" i="2"/>
  <c r="AC962" i="2"/>
  <c r="AC963" i="2"/>
  <c r="AC964" i="2"/>
  <c r="AC965" i="2"/>
  <c r="AC966" i="2"/>
  <c r="AC967" i="2"/>
  <c r="AC968" i="2"/>
  <c r="AC969" i="2"/>
  <c r="AC970" i="2"/>
  <c r="AC971" i="2"/>
  <c r="AC972" i="2"/>
  <c r="AC973" i="2"/>
  <c r="AC974" i="2"/>
  <c r="AC975" i="2"/>
  <c r="AC976" i="2"/>
  <c r="AC977" i="2"/>
  <c r="AC978" i="2"/>
  <c r="AC979" i="2"/>
  <c r="AC980" i="2"/>
  <c r="AC981" i="2"/>
  <c r="AC982" i="2"/>
  <c r="AC983" i="2"/>
  <c r="AC984" i="2"/>
  <c r="AC985" i="2"/>
  <c r="AC986" i="2"/>
  <c r="AC987" i="2"/>
  <c r="AC988" i="2"/>
  <c r="AC989" i="2"/>
  <c r="AC990" i="2"/>
  <c r="AC991" i="2"/>
  <c r="AC992" i="2"/>
  <c r="AC993" i="2"/>
  <c r="AC994" i="2"/>
  <c r="AC995" i="2"/>
  <c r="AC996" i="2"/>
  <c r="AC997" i="2"/>
  <c r="AC998" i="2"/>
  <c r="AC999" i="2"/>
  <c r="AC1000" i="2"/>
  <c r="AC1001" i="2"/>
  <c r="AC1002" i="2"/>
  <c r="AC1003" i="2"/>
  <c r="AC1004" i="2"/>
  <c r="AC1005" i="2"/>
  <c r="AC1006" i="2"/>
  <c r="AC1007" i="2"/>
  <c r="AC1008" i="2"/>
  <c r="AC1009" i="2"/>
  <c r="AC1010" i="2"/>
  <c r="AC1011" i="2"/>
  <c r="AC1012" i="2"/>
  <c r="AC1013" i="2"/>
  <c r="AC1014" i="2"/>
  <c r="AC1015" i="2"/>
  <c r="AC1016" i="2"/>
  <c r="AC1017" i="2"/>
  <c r="AC1018" i="2"/>
  <c r="AC1019" i="2"/>
  <c r="AC1020" i="2"/>
  <c r="AC1021" i="2"/>
  <c r="AC1022" i="2"/>
  <c r="AC1023" i="2"/>
  <c r="AC1024" i="2"/>
  <c r="AC1025" i="2"/>
  <c r="AC1026" i="2"/>
  <c r="AC1027" i="2"/>
  <c r="AC1028" i="2"/>
  <c r="AC1029" i="2"/>
  <c r="AC1030" i="2"/>
  <c r="AC1031" i="2"/>
  <c r="AC1032" i="2"/>
  <c r="AC1033" i="2"/>
  <c r="AC1034" i="2"/>
  <c r="AC1035" i="2"/>
  <c r="AC1036" i="2"/>
  <c r="AC1037" i="2"/>
  <c r="AC1038" i="2"/>
  <c r="AC1039" i="2"/>
  <c r="AC1040" i="2"/>
  <c r="AC1041" i="2"/>
  <c r="AC1042" i="2"/>
  <c r="AC1043" i="2"/>
  <c r="AC1044" i="2"/>
  <c r="AC1045" i="2"/>
  <c r="AC1046" i="2"/>
  <c r="AC1047" i="2"/>
  <c r="AC1048" i="2"/>
  <c r="AC1049" i="2"/>
  <c r="AC1050" i="2"/>
  <c r="AC1051" i="2"/>
  <c r="AC1052" i="2"/>
  <c r="AC1053" i="2"/>
  <c r="AC1054" i="2"/>
  <c r="AC1055" i="2"/>
  <c r="AC1056" i="2"/>
  <c r="AC1057" i="2"/>
  <c r="AC1058" i="2"/>
  <c r="AC1059" i="2"/>
  <c r="AC1060" i="2"/>
  <c r="AC1061" i="2"/>
  <c r="AC1062" i="2"/>
  <c r="AC1063" i="2"/>
  <c r="AC1064" i="2"/>
  <c r="AC1065" i="2"/>
  <c r="AC1066" i="2"/>
  <c r="AC1067" i="2"/>
  <c r="AC1068" i="2"/>
  <c r="AC1069" i="2"/>
  <c r="AC1070" i="2"/>
  <c r="AC1071" i="2"/>
  <c r="AC1072" i="2"/>
  <c r="AC1073" i="2"/>
  <c r="AC1074" i="2"/>
  <c r="AC1075" i="2"/>
  <c r="AC1076" i="2"/>
  <c r="AC1077" i="2"/>
  <c r="AC1078" i="2"/>
  <c r="AC1079" i="2"/>
  <c r="AC1080" i="2"/>
  <c r="AC1081" i="2"/>
  <c r="AC1082" i="2"/>
  <c r="AC1083" i="2"/>
  <c r="AC1084" i="2"/>
  <c r="AC1085" i="2"/>
  <c r="AC1086" i="2"/>
  <c r="AC1087" i="2"/>
  <c r="AC1088" i="2"/>
  <c r="AC1089" i="2"/>
  <c r="AC1090" i="2"/>
  <c r="AC1091" i="2"/>
  <c r="AC1092" i="2"/>
  <c r="AC1093" i="2"/>
  <c r="AC1094" i="2"/>
  <c r="AC1095" i="2"/>
  <c r="AC1096" i="2"/>
  <c r="AC1097" i="2"/>
  <c r="AC1098" i="2"/>
  <c r="AC1099" i="2"/>
  <c r="AC1100" i="2"/>
  <c r="AC1101" i="2"/>
  <c r="AC1102" i="2"/>
  <c r="AC1103" i="2"/>
  <c r="AC1104" i="2"/>
  <c r="AC1105" i="2"/>
  <c r="AC1106" i="2"/>
  <c r="AC1107" i="2"/>
  <c r="AC1108" i="2"/>
  <c r="AC1109" i="2"/>
  <c r="AC1110" i="2"/>
  <c r="AC1111" i="2"/>
  <c r="AC1112" i="2"/>
  <c r="AC1113" i="2"/>
  <c r="AC1114" i="2"/>
  <c r="AC1115" i="2"/>
  <c r="AC1116" i="2"/>
  <c r="AC1117" i="2"/>
  <c r="AC1118" i="2"/>
  <c r="AC1119" i="2"/>
  <c r="AC1120" i="2"/>
  <c r="AC1121" i="2"/>
  <c r="AC1122" i="2"/>
  <c r="AC1123" i="2"/>
  <c r="AC1124" i="2"/>
  <c r="AC1125" i="2"/>
  <c r="AC1126" i="2"/>
  <c r="AC1127" i="2"/>
  <c r="AC1128" i="2"/>
  <c r="AC1129" i="2"/>
  <c r="AC1130" i="2"/>
  <c r="AC1131" i="2"/>
  <c r="AC1132" i="2"/>
  <c r="AC1133" i="2"/>
  <c r="AC1134" i="2"/>
  <c r="AC1135" i="2"/>
  <c r="AC1136" i="2"/>
  <c r="AC1137" i="2"/>
  <c r="AC1138" i="2"/>
  <c r="AC1139" i="2"/>
  <c r="AC1140" i="2"/>
  <c r="AC1141" i="2"/>
  <c r="AC1142" i="2"/>
  <c r="AC1143" i="2"/>
  <c r="AC1144" i="2"/>
  <c r="AC1145" i="2"/>
  <c r="AC1146" i="2"/>
  <c r="AC1147" i="2"/>
  <c r="AC1148" i="2"/>
  <c r="AC1149" i="2"/>
  <c r="AC1150" i="2"/>
  <c r="AC1151" i="2"/>
  <c r="AC1152" i="2"/>
  <c r="AC1153" i="2"/>
  <c r="AC1154" i="2"/>
  <c r="AC1155" i="2"/>
  <c r="AC1156" i="2"/>
  <c r="AC1157" i="2"/>
  <c r="AC1158" i="2"/>
  <c r="AC1159" i="2"/>
  <c r="AC1160" i="2"/>
  <c r="AC1161" i="2"/>
  <c r="AC1162" i="2"/>
  <c r="AC1163" i="2"/>
  <c r="AC1164" i="2"/>
  <c r="AC1165" i="2"/>
  <c r="AC1166" i="2"/>
  <c r="AC1167" i="2"/>
  <c r="AC1168" i="2"/>
  <c r="AC1169" i="2"/>
  <c r="AC1170" i="2"/>
  <c r="AC1171" i="2"/>
  <c r="AC1172" i="2"/>
  <c r="AC1173" i="2"/>
  <c r="AC1174" i="2"/>
  <c r="AC1175" i="2"/>
  <c r="AC1176" i="2"/>
  <c r="AC1177" i="2"/>
  <c r="AC1178" i="2"/>
  <c r="AC1179" i="2"/>
  <c r="AC1180" i="2"/>
  <c r="AC1181" i="2"/>
  <c r="AC1182" i="2"/>
  <c r="AC1183" i="2"/>
  <c r="AC1184" i="2"/>
  <c r="AC1185" i="2"/>
  <c r="AC1186" i="2"/>
  <c r="AC1187" i="2"/>
  <c r="AC1188" i="2"/>
  <c r="AC1189" i="2"/>
  <c r="AC1190" i="2"/>
  <c r="AC1191" i="2"/>
  <c r="AC1192" i="2"/>
  <c r="AC1193" i="2"/>
  <c r="AC1194" i="2"/>
  <c r="AC1195" i="2"/>
  <c r="AC1196" i="2"/>
  <c r="AC1197" i="2"/>
  <c r="AC1198" i="2"/>
  <c r="AC1199" i="2"/>
  <c r="AC1200" i="2"/>
  <c r="AC1201" i="2"/>
  <c r="AC1202" i="2"/>
  <c r="AC1203" i="2"/>
  <c r="AC1204" i="2"/>
  <c r="AC1205" i="2"/>
  <c r="AC1206" i="2"/>
  <c r="AC1207" i="2"/>
  <c r="AC1208" i="2"/>
  <c r="AC1209" i="2"/>
  <c r="AC1210" i="2"/>
  <c r="AC1211" i="2"/>
  <c r="AC1212" i="2"/>
  <c r="AC1213" i="2"/>
  <c r="AC1214" i="2"/>
  <c r="AC1215" i="2"/>
  <c r="AC1216" i="2"/>
  <c r="AC1217" i="2"/>
  <c r="AC1218" i="2"/>
  <c r="AC1219" i="2"/>
  <c r="AC1220" i="2"/>
  <c r="AC1221" i="2"/>
  <c r="AC1222" i="2"/>
  <c r="AC1223" i="2"/>
  <c r="AC1224" i="2"/>
  <c r="AC1225" i="2"/>
  <c r="AC1226" i="2"/>
  <c r="AC1227" i="2"/>
  <c r="AC1228" i="2"/>
  <c r="AC1229" i="2"/>
  <c r="AC1230" i="2"/>
  <c r="AC1231" i="2"/>
  <c r="AC1232" i="2"/>
  <c r="AC1233" i="2"/>
  <c r="AC1234" i="2"/>
  <c r="AC1235" i="2"/>
  <c r="AC1236" i="2"/>
  <c r="AC1237" i="2"/>
  <c r="AC1238" i="2"/>
  <c r="AC1239" i="2"/>
  <c r="AC1240" i="2"/>
  <c r="AC1241" i="2"/>
  <c r="AC1242" i="2"/>
  <c r="AC1243" i="2"/>
  <c r="AC1244" i="2"/>
  <c r="AC1245" i="2"/>
  <c r="AC1246" i="2"/>
  <c r="AC1247" i="2"/>
  <c r="AC1248" i="2"/>
  <c r="AC1249" i="2"/>
  <c r="AC1250" i="2"/>
  <c r="AC1251" i="2"/>
  <c r="AC1252" i="2"/>
  <c r="AC1253" i="2"/>
  <c r="AC1254" i="2"/>
  <c r="AC1255" i="2"/>
  <c r="AC1256" i="2"/>
  <c r="AC1257" i="2"/>
  <c r="AC1258" i="2"/>
  <c r="AC1259" i="2"/>
  <c r="AC1260" i="2"/>
  <c r="AC1261" i="2"/>
  <c r="AC1262" i="2"/>
  <c r="AC1263" i="2"/>
  <c r="AC1264" i="2"/>
  <c r="AC1265" i="2"/>
  <c r="AC1266" i="2"/>
  <c r="AC1267" i="2"/>
  <c r="AC1268" i="2"/>
  <c r="AC1269" i="2"/>
  <c r="AC1270" i="2"/>
  <c r="AC1271" i="2"/>
  <c r="AC1272" i="2"/>
  <c r="AC1273" i="2"/>
  <c r="AC1274" i="2"/>
  <c r="AC1275" i="2"/>
  <c r="AC1276" i="2"/>
  <c r="AC1277" i="2"/>
  <c r="AC1278" i="2"/>
  <c r="AC1279" i="2"/>
  <c r="AC1280" i="2"/>
  <c r="AC1281" i="2"/>
  <c r="AC1282" i="2"/>
  <c r="AC1283" i="2"/>
  <c r="AC1284" i="2"/>
  <c r="AC1285" i="2"/>
  <c r="AC1286" i="2"/>
  <c r="AC1287" i="2"/>
  <c r="AC1288" i="2"/>
  <c r="AC1289" i="2"/>
  <c r="AC1290" i="2"/>
  <c r="AC1291" i="2"/>
  <c r="AC1292" i="2"/>
  <c r="AC1293" i="2"/>
  <c r="AC1294" i="2"/>
  <c r="AC1295" i="2"/>
  <c r="AC1296" i="2"/>
  <c r="AC1297" i="2"/>
  <c r="AC1298" i="2"/>
  <c r="AC1299" i="2"/>
  <c r="AC1300" i="2"/>
  <c r="AC1301" i="2"/>
  <c r="AC1302" i="2"/>
  <c r="AC1303" i="2"/>
  <c r="AC1304" i="2"/>
  <c r="AC1305" i="2"/>
  <c r="AC1306" i="2"/>
  <c r="AC1307" i="2"/>
  <c r="AC1308" i="2"/>
  <c r="AC1309" i="2"/>
  <c r="AC1310" i="2"/>
  <c r="AC1311" i="2"/>
  <c r="AC1312" i="2"/>
  <c r="AC1313" i="2"/>
  <c r="AC1314" i="2"/>
  <c r="AC1315" i="2"/>
  <c r="AC1316" i="2"/>
  <c r="AC1317" i="2"/>
  <c r="AC1318" i="2"/>
  <c r="AC1319" i="2"/>
  <c r="AC1320" i="2"/>
  <c r="AC1321" i="2"/>
  <c r="AC1322" i="2"/>
  <c r="AC1323" i="2"/>
  <c r="AC1324" i="2"/>
  <c r="AC1325" i="2"/>
  <c r="AC1326" i="2"/>
  <c r="AC1327" i="2"/>
  <c r="AC1328" i="2"/>
  <c r="AC1329" i="2"/>
  <c r="AC1330" i="2"/>
  <c r="AC1331" i="2"/>
  <c r="AC1332" i="2"/>
  <c r="AC1333" i="2"/>
  <c r="AC1334" i="2"/>
  <c r="AC1335" i="2"/>
  <c r="AC1336" i="2"/>
  <c r="AC1337" i="2"/>
  <c r="AC1338" i="2"/>
  <c r="AC1339" i="2"/>
  <c r="AC1340" i="2"/>
  <c r="AC1341" i="2"/>
  <c r="AC1342" i="2"/>
  <c r="AC1343" i="2"/>
  <c r="AC1344" i="2"/>
  <c r="AC1345" i="2"/>
  <c r="AC1346" i="2"/>
  <c r="AC1347" i="2"/>
  <c r="AC1348" i="2"/>
  <c r="AC1349" i="2"/>
  <c r="AC1350" i="2"/>
  <c r="AC1351" i="2"/>
  <c r="AC1352" i="2"/>
  <c r="AC1353" i="2"/>
  <c r="AC1354" i="2"/>
  <c r="AC1355" i="2"/>
  <c r="AC1356" i="2"/>
  <c r="AC1357" i="2"/>
  <c r="AC1358" i="2"/>
  <c r="AC1359" i="2"/>
  <c r="AC1360" i="2"/>
  <c r="AC1361" i="2"/>
  <c r="AC1362" i="2"/>
  <c r="AC1363" i="2"/>
  <c r="AC1364" i="2"/>
  <c r="AC1365" i="2"/>
  <c r="AC1366" i="2"/>
  <c r="AC1367" i="2"/>
  <c r="AC1368" i="2"/>
  <c r="AC1369" i="2"/>
  <c r="AC1370" i="2"/>
  <c r="AC1371" i="2"/>
  <c r="AC1372" i="2"/>
  <c r="AC1373" i="2"/>
  <c r="AC1374" i="2"/>
  <c r="AC1375" i="2"/>
  <c r="AC1376" i="2"/>
  <c r="AC1377" i="2"/>
  <c r="AC1378" i="2"/>
  <c r="AC1379" i="2"/>
  <c r="AC1380" i="2"/>
  <c r="AC1381" i="2"/>
  <c r="AC1382" i="2"/>
  <c r="AC1383" i="2"/>
  <c r="AC1384" i="2"/>
  <c r="AC1385" i="2"/>
  <c r="AC1386" i="2"/>
  <c r="AC1387" i="2"/>
  <c r="AC1388" i="2"/>
  <c r="AC1389" i="2"/>
  <c r="AC1390" i="2"/>
  <c r="AC1391" i="2"/>
  <c r="AC1392" i="2"/>
  <c r="AC1393" i="2"/>
  <c r="AC1394" i="2"/>
  <c r="AC1395" i="2"/>
  <c r="AC1396" i="2"/>
  <c r="AC1397" i="2"/>
  <c r="AC1398" i="2"/>
  <c r="AC1399" i="2"/>
  <c r="AC1400" i="2"/>
  <c r="AC1401" i="2"/>
  <c r="AC1402" i="2"/>
  <c r="AC1403" i="2"/>
  <c r="AC1404" i="2"/>
  <c r="AC1405" i="2"/>
  <c r="AC1406" i="2"/>
  <c r="AC1407" i="2"/>
  <c r="AC1408" i="2"/>
  <c r="AC1409" i="2"/>
  <c r="AC1410" i="2"/>
  <c r="AC1411" i="2"/>
  <c r="AC1412" i="2"/>
  <c r="AC1413" i="2"/>
  <c r="AC1414" i="2"/>
  <c r="AC1415" i="2"/>
  <c r="AC1416" i="2"/>
  <c r="AC1417" i="2"/>
  <c r="AC1418" i="2"/>
  <c r="AC1419" i="2"/>
  <c r="AC1420" i="2"/>
  <c r="AC1421" i="2"/>
  <c r="AC1422" i="2"/>
  <c r="AC1423" i="2"/>
  <c r="AC1424" i="2"/>
  <c r="AC1425" i="2"/>
  <c r="AC1426" i="2"/>
  <c r="AC1427" i="2"/>
  <c r="AC1428" i="2"/>
  <c r="AC1429" i="2"/>
  <c r="AC1430" i="2"/>
  <c r="AC1431" i="2"/>
  <c r="AC1432" i="2"/>
  <c r="AC1433" i="2"/>
  <c r="AC1434" i="2"/>
  <c r="AC1435" i="2"/>
  <c r="AC1436" i="2"/>
  <c r="AC1437" i="2"/>
  <c r="AC1438" i="2"/>
  <c r="AC1439" i="2"/>
  <c r="AC1440" i="2"/>
  <c r="AC1441" i="2"/>
  <c r="AC1442" i="2"/>
  <c r="AC1443" i="2"/>
  <c r="AC1444" i="2"/>
  <c r="AC1445" i="2"/>
  <c r="AC1446" i="2"/>
  <c r="AC1447" i="2"/>
  <c r="AC1448" i="2"/>
  <c r="AC1449" i="2"/>
  <c r="AC1450" i="2"/>
  <c r="AC1451" i="2"/>
  <c r="AC1452" i="2"/>
  <c r="AC1453" i="2"/>
  <c r="AC1454" i="2"/>
  <c r="AC1455" i="2"/>
  <c r="AC1456" i="2"/>
  <c r="AC1457" i="2"/>
  <c r="AC1458" i="2"/>
  <c r="AC1459" i="2"/>
  <c r="AC1460" i="2"/>
  <c r="AC1461" i="2"/>
  <c r="AC1462" i="2"/>
  <c r="AC1463" i="2"/>
  <c r="AC1464" i="2"/>
  <c r="AC1465" i="2"/>
  <c r="AC1466" i="2"/>
  <c r="AC1467" i="2"/>
  <c r="AC1468" i="2"/>
  <c r="AC1469" i="2"/>
  <c r="AC1470" i="2"/>
  <c r="AC1471" i="2"/>
  <c r="AC1472" i="2"/>
  <c r="AC1473" i="2"/>
  <c r="AC1474" i="2"/>
  <c r="AC1475" i="2"/>
  <c r="AC1476" i="2"/>
  <c r="AC1477" i="2"/>
  <c r="AC1478" i="2"/>
  <c r="AC1479" i="2"/>
  <c r="AC1480" i="2"/>
  <c r="AC1481" i="2"/>
  <c r="AC1482" i="2"/>
  <c r="AC1483" i="2"/>
  <c r="AC1484" i="2"/>
  <c r="AC1485" i="2"/>
  <c r="AC1486" i="2"/>
  <c r="AC1487" i="2"/>
  <c r="AC1488" i="2"/>
  <c r="AC1489" i="2"/>
  <c r="AC1490" i="2"/>
  <c r="AC1491" i="2"/>
  <c r="AC1494" i="2"/>
  <c r="AC1495" i="2"/>
  <c r="AC1496" i="2"/>
  <c r="AC1497" i="2"/>
  <c r="AC1498" i="2"/>
  <c r="AC1499" i="2"/>
  <c r="AC1500" i="2"/>
  <c r="AC1501" i="2"/>
  <c r="AC1502" i="2"/>
  <c r="AC1503" i="2"/>
  <c r="AC1504" i="2"/>
  <c r="T1468" i="2" l="1"/>
  <c r="V1468" i="2" s="1"/>
  <c r="L1468" i="2"/>
  <c r="T1466" i="2" l="1"/>
  <c r="V1466" i="2" s="1"/>
  <c r="L1466" i="2"/>
  <c r="L1461" i="2" l="1"/>
  <c r="L1458" i="2" l="1"/>
  <c r="T1458" i="2"/>
  <c r="V1458" i="2" s="1"/>
  <c r="L1457" i="2" l="1"/>
  <c r="L1454" i="2" l="1"/>
  <c r="L1455" i="2"/>
  <c r="T1453" i="2"/>
  <c r="V1453" i="2" s="1"/>
  <c r="L1453" i="2"/>
  <c r="L1449" i="2" l="1"/>
  <c r="T1448" i="2" l="1"/>
  <c r="V1448" i="2" s="1"/>
  <c r="L1448" i="2"/>
  <c r="L1447" i="2" l="1"/>
  <c r="T1436" i="2" l="1"/>
  <c r="V1436" i="2" s="1"/>
  <c r="T1432" i="2" l="1"/>
  <c r="V1432" i="2" s="1"/>
  <c r="L1432" i="2"/>
  <c r="T1427" i="2" l="1"/>
  <c r="V1427" i="2" s="1"/>
  <c r="L1427" i="2"/>
  <c r="T1424" i="2" l="1"/>
  <c r="V1424" i="2" s="1"/>
  <c r="L1424" i="2"/>
  <c r="L1412" i="2" l="1"/>
  <c r="T1412" i="2"/>
  <c r="V1412" i="2" s="1"/>
  <c r="L1411" i="2" l="1"/>
  <c r="L3" i="2" l="1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11" i="2"/>
  <c r="L112" i="2"/>
  <c r="L113" i="2"/>
  <c r="L114" i="2"/>
  <c r="L115" i="2"/>
  <c r="L116" i="2"/>
  <c r="L117" i="2"/>
  <c r="L118" i="2"/>
  <c r="L119" i="2"/>
  <c r="L120" i="2"/>
  <c r="L121" i="2"/>
  <c r="L122" i="2"/>
  <c r="L123" i="2"/>
  <c r="L124" i="2"/>
  <c r="L125" i="2"/>
  <c r="L126" i="2"/>
  <c r="L127" i="2"/>
  <c r="L128" i="2"/>
  <c r="L129" i="2"/>
  <c r="L130" i="2"/>
  <c r="L131" i="2"/>
  <c r="L132" i="2"/>
  <c r="L133" i="2"/>
  <c r="L134" i="2"/>
  <c r="L135" i="2"/>
  <c r="L136" i="2"/>
  <c r="L137" i="2"/>
  <c r="L138" i="2"/>
  <c r="L139" i="2"/>
  <c r="L140" i="2"/>
  <c r="L141" i="2"/>
  <c r="L142" i="2"/>
  <c r="L143" i="2"/>
  <c r="L144" i="2"/>
  <c r="L145" i="2"/>
  <c r="L146" i="2"/>
  <c r="L147" i="2"/>
  <c r="L148" i="2"/>
  <c r="L149" i="2"/>
  <c r="L150" i="2"/>
  <c r="L151" i="2"/>
  <c r="L152" i="2"/>
  <c r="L153" i="2"/>
  <c r="L154" i="2"/>
  <c r="L155" i="2"/>
  <c r="L156" i="2"/>
  <c r="L157" i="2"/>
  <c r="L158" i="2"/>
  <c r="L159" i="2"/>
  <c r="L160" i="2"/>
  <c r="L161" i="2"/>
  <c r="L162" i="2"/>
  <c r="L163" i="2"/>
  <c r="L164" i="2"/>
  <c r="L165" i="2"/>
  <c r="L166" i="2"/>
  <c r="L167" i="2"/>
  <c r="L168" i="2"/>
  <c r="L169" i="2"/>
  <c r="L170" i="2"/>
  <c r="L171" i="2"/>
  <c r="L172" i="2"/>
  <c r="L173" i="2"/>
  <c r="L174" i="2"/>
  <c r="L175" i="2"/>
  <c r="L176" i="2"/>
  <c r="L177" i="2"/>
  <c r="L178" i="2"/>
  <c r="L179" i="2"/>
  <c r="L180" i="2"/>
  <c r="L181" i="2"/>
  <c r="L182" i="2"/>
  <c r="L183" i="2"/>
  <c r="L184" i="2"/>
  <c r="L185" i="2"/>
  <c r="L186" i="2"/>
  <c r="L187" i="2"/>
  <c r="L188" i="2"/>
  <c r="L189" i="2"/>
  <c r="L190" i="2"/>
  <c r="L191" i="2"/>
  <c r="L192" i="2"/>
  <c r="L193" i="2"/>
  <c r="L194" i="2"/>
  <c r="L195" i="2"/>
  <c r="L196" i="2"/>
  <c r="L197" i="2"/>
  <c r="L198" i="2"/>
  <c r="L199" i="2"/>
  <c r="L200" i="2"/>
  <c r="L201" i="2"/>
  <c r="L202" i="2"/>
  <c r="L203" i="2"/>
  <c r="L204" i="2"/>
  <c r="L205" i="2"/>
  <c r="L206" i="2"/>
  <c r="L207" i="2"/>
  <c r="L208" i="2"/>
  <c r="L209" i="2"/>
  <c r="L210" i="2"/>
  <c r="L211" i="2"/>
  <c r="L212" i="2"/>
  <c r="L213" i="2"/>
  <c r="L214" i="2"/>
  <c r="L215" i="2"/>
  <c r="L216" i="2"/>
  <c r="L217" i="2"/>
  <c r="L218" i="2"/>
  <c r="L219" i="2"/>
  <c r="L220" i="2"/>
  <c r="L221" i="2"/>
  <c r="L222" i="2"/>
  <c r="L223" i="2"/>
  <c r="L224" i="2"/>
  <c r="L225" i="2"/>
  <c r="L226" i="2"/>
  <c r="L227" i="2"/>
  <c r="L228" i="2"/>
  <c r="L229" i="2"/>
  <c r="L230" i="2"/>
  <c r="L231" i="2"/>
  <c r="L232" i="2"/>
  <c r="L233" i="2"/>
  <c r="L234" i="2"/>
  <c r="L235" i="2"/>
  <c r="L236" i="2"/>
  <c r="L237" i="2"/>
  <c r="L238" i="2"/>
  <c r="L239" i="2"/>
  <c r="L240" i="2"/>
  <c r="L241" i="2"/>
  <c r="L242" i="2"/>
  <c r="L243" i="2"/>
  <c r="L244" i="2"/>
  <c r="L245" i="2"/>
  <c r="L246" i="2"/>
  <c r="L247" i="2"/>
  <c r="L248" i="2"/>
  <c r="L249" i="2"/>
  <c r="L250" i="2"/>
  <c r="L251" i="2"/>
  <c r="L252" i="2"/>
  <c r="L253" i="2"/>
  <c r="L254" i="2"/>
  <c r="L255" i="2"/>
  <c r="L256" i="2"/>
  <c r="L257" i="2"/>
  <c r="L258" i="2"/>
  <c r="L259" i="2"/>
  <c r="L260" i="2"/>
  <c r="L261" i="2"/>
  <c r="L262" i="2"/>
  <c r="L263" i="2"/>
  <c r="L264" i="2"/>
  <c r="L265" i="2"/>
  <c r="L266" i="2"/>
  <c r="L267" i="2"/>
  <c r="L268" i="2"/>
  <c r="L269" i="2"/>
  <c r="L270" i="2"/>
  <c r="L271" i="2"/>
  <c r="L272" i="2"/>
  <c r="L273" i="2"/>
  <c r="L274" i="2"/>
  <c r="L275" i="2"/>
  <c r="L276" i="2"/>
  <c r="L277" i="2"/>
  <c r="L278" i="2"/>
  <c r="L279" i="2"/>
  <c r="L280" i="2"/>
  <c r="L281" i="2"/>
  <c r="L282" i="2"/>
  <c r="L283" i="2"/>
  <c r="L284" i="2"/>
  <c r="L285" i="2"/>
  <c r="L286" i="2"/>
  <c r="L287" i="2"/>
  <c r="L288" i="2"/>
  <c r="L289" i="2"/>
  <c r="L290" i="2"/>
  <c r="L291" i="2"/>
  <c r="L292" i="2"/>
  <c r="L293" i="2"/>
  <c r="L294" i="2"/>
  <c r="L295" i="2"/>
  <c r="L296" i="2"/>
  <c r="L297" i="2"/>
  <c r="L298" i="2"/>
  <c r="L299" i="2"/>
  <c r="L300" i="2"/>
  <c r="L301" i="2"/>
  <c r="L302" i="2"/>
  <c r="L303" i="2"/>
  <c r="L304" i="2"/>
  <c r="L305" i="2"/>
  <c r="L306" i="2"/>
  <c r="L307" i="2"/>
  <c r="L308" i="2"/>
  <c r="L309" i="2"/>
  <c r="L310" i="2"/>
  <c r="L311" i="2"/>
  <c r="L312" i="2"/>
  <c r="L313" i="2"/>
  <c r="L314" i="2"/>
  <c r="L315" i="2"/>
  <c r="L316" i="2"/>
  <c r="L317" i="2"/>
  <c r="L318" i="2"/>
  <c r="L319" i="2"/>
  <c r="L320" i="2"/>
  <c r="L321" i="2"/>
  <c r="L322" i="2"/>
  <c r="L323" i="2"/>
  <c r="L324" i="2"/>
  <c r="L325" i="2"/>
  <c r="L326" i="2"/>
  <c r="L327" i="2"/>
  <c r="L328" i="2"/>
  <c r="L329" i="2"/>
  <c r="L330" i="2"/>
  <c r="L331" i="2"/>
  <c r="L332" i="2"/>
  <c r="L333" i="2"/>
  <c r="L334" i="2"/>
  <c r="L335" i="2"/>
  <c r="L336" i="2"/>
  <c r="L337" i="2"/>
  <c r="L338" i="2"/>
  <c r="L339" i="2"/>
  <c r="L340" i="2"/>
  <c r="L341" i="2"/>
  <c r="L342" i="2"/>
  <c r="L343" i="2"/>
  <c r="L344" i="2"/>
  <c r="L345" i="2"/>
  <c r="L346" i="2"/>
  <c r="L347" i="2"/>
  <c r="L348" i="2"/>
  <c r="L349" i="2"/>
  <c r="L350" i="2"/>
  <c r="L351" i="2"/>
  <c r="L352" i="2"/>
  <c r="L353" i="2"/>
  <c r="L354" i="2"/>
  <c r="L355" i="2"/>
  <c r="L356" i="2"/>
  <c r="L357" i="2"/>
  <c r="L358" i="2"/>
  <c r="L359" i="2"/>
  <c r="L360" i="2"/>
  <c r="L361" i="2"/>
  <c r="L362" i="2"/>
  <c r="L363" i="2"/>
  <c r="L364" i="2"/>
  <c r="L365" i="2"/>
  <c r="L366" i="2"/>
  <c r="L367" i="2"/>
  <c r="L368" i="2"/>
  <c r="L369" i="2"/>
  <c r="L370" i="2"/>
  <c r="L371" i="2"/>
  <c r="L372" i="2"/>
  <c r="L373" i="2"/>
  <c r="L374" i="2"/>
  <c r="L375" i="2"/>
  <c r="L376" i="2"/>
  <c r="L377" i="2"/>
  <c r="L378" i="2"/>
  <c r="L379" i="2"/>
  <c r="L380" i="2"/>
  <c r="L381" i="2"/>
  <c r="L382" i="2"/>
  <c r="L383" i="2"/>
  <c r="L384" i="2"/>
  <c r="L385" i="2"/>
  <c r="L386" i="2"/>
  <c r="L387" i="2"/>
  <c r="L388" i="2"/>
  <c r="L389" i="2"/>
  <c r="L390" i="2"/>
  <c r="L391" i="2"/>
  <c r="L392" i="2"/>
  <c r="L393" i="2"/>
  <c r="L394" i="2"/>
  <c r="L395" i="2"/>
  <c r="L396" i="2"/>
  <c r="L397" i="2"/>
  <c r="L398" i="2"/>
  <c r="L399" i="2"/>
  <c r="L400" i="2"/>
  <c r="L401" i="2"/>
  <c r="L402" i="2"/>
  <c r="L403" i="2"/>
  <c r="L404" i="2"/>
  <c r="L405" i="2"/>
  <c r="L406" i="2"/>
  <c r="L407" i="2"/>
  <c r="L408" i="2"/>
  <c r="L409" i="2"/>
  <c r="L410" i="2"/>
  <c r="L411" i="2"/>
  <c r="L412" i="2"/>
  <c r="L413" i="2"/>
  <c r="L414" i="2"/>
  <c r="L415" i="2"/>
  <c r="L416" i="2"/>
  <c r="L417" i="2"/>
  <c r="L418" i="2"/>
  <c r="L419" i="2"/>
  <c r="L420" i="2"/>
  <c r="L421" i="2"/>
  <c r="L422" i="2"/>
  <c r="L423" i="2"/>
  <c r="L424" i="2"/>
  <c r="L425" i="2"/>
  <c r="L426" i="2"/>
  <c r="L427" i="2"/>
  <c r="L428" i="2"/>
  <c r="L429" i="2"/>
  <c r="L430" i="2"/>
  <c r="L431" i="2"/>
  <c r="L432" i="2"/>
  <c r="L433" i="2"/>
  <c r="L434" i="2"/>
  <c r="L435" i="2"/>
  <c r="L436" i="2"/>
  <c r="L437" i="2"/>
  <c r="L438" i="2"/>
  <c r="L439" i="2"/>
  <c r="L440" i="2"/>
  <c r="L441" i="2"/>
  <c r="L442" i="2"/>
  <c r="L443" i="2"/>
  <c r="L444" i="2"/>
  <c r="L445" i="2"/>
  <c r="L446" i="2"/>
  <c r="L447" i="2"/>
  <c r="L448" i="2"/>
  <c r="L449" i="2"/>
  <c r="L450" i="2"/>
  <c r="L451" i="2"/>
  <c r="L452" i="2"/>
  <c r="L453" i="2"/>
  <c r="L454" i="2"/>
  <c r="L455" i="2"/>
  <c r="L456" i="2"/>
  <c r="L457" i="2"/>
  <c r="L458" i="2"/>
  <c r="L459" i="2"/>
  <c r="L460" i="2"/>
  <c r="L461" i="2"/>
  <c r="L462" i="2"/>
  <c r="L463" i="2"/>
  <c r="L464" i="2"/>
  <c r="L465" i="2"/>
  <c r="L466" i="2"/>
  <c r="L467" i="2"/>
  <c r="L468" i="2"/>
  <c r="L469" i="2"/>
  <c r="L470" i="2"/>
  <c r="L471" i="2"/>
  <c r="L472" i="2"/>
  <c r="L473" i="2"/>
  <c r="L474" i="2"/>
  <c r="L475" i="2"/>
  <c r="L476" i="2"/>
  <c r="L477" i="2"/>
  <c r="L478" i="2"/>
  <c r="L479" i="2"/>
  <c r="L480" i="2"/>
  <c r="L481" i="2"/>
  <c r="L482" i="2"/>
  <c r="L483" i="2"/>
  <c r="L484" i="2"/>
  <c r="L485" i="2"/>
  <c r="L486" i="2"/>
  <c r="L487" i="2"/>
  <c r="L488" i="2"/>
  <c r="L489" i="2"/>
  <c r="L490" i="2"/>
  <c r="L491" i="2"/>
  <c r="L492" i="2"/>
  <c r="L493" i="2"/>
  <c r="L494" i="2"/>
  <c r="L495" i="2"/>
  <c r="L496" i="2"/>
  <c r="L497" i="2"/>
  <c r="L498" i="2"/>
  <c r="L499" i="2"/>
  <c r="L500" i="2"/>
  <c r="L501" i="2"/>
  <c r="L502" i="2"/>
  <c r="L503" i="2"/>
  <c r="L504" i="2"/>
  <c r="L505" i="2"/>
  <c r="L506" i="2"/>
  <c r="L507" i="2"/>
  <c r="L508" i="2"/>
  <c r="L509" i="2"/>
  <c r="L510" i="2"/>
  <c r="L511" i="2"/>
  <c r="L512" i="2"/>
  <c r="L513" i="2"/>
  <c r="L514" i="2"/>
  <c r="L515" i="2"/>
  <c r="L516" i="2"/>
  <c r="L517" i="2"/>
  <c r="L518" i="2"/>
  <c r="L519" i="2"/>
  <c r="L520" i="2"/>
  <c r="L521" i="2"/>
  <c r="L522" i="2"/>
  <c r="L523" i="2"/>
  <c r="L524" i="2"/>
  <c r="L525" i="2"/>
  <c r="L526" i="2"/>
  <c r="L527" i="2"/>
  <c r="L528" i="2"/>
  <c r="L529" i="2"/>
  <c r="L530" i="2"/>
  <c r="L531" i="2"/>
  <c r="L532" i="2"/>
  <c r="L533" i="2"/>
  <c r="L534" i="2"/>
  <c r="L535" i="2"/>
  <c r="L536" i="2"/>
  <c r="L537" i="2"/>
  <c r="L538" i="2"/>
  <c r="L539" i="2"/>
  <c r="L540" i="2"/>
  <c r="L541" i="2"/>
  <c r="L542" i="2"/>
  <c r="L543" i="2"/>
  <c r="L544" i="2"/>
  <c r="L545" i="2"/>
  <c r="L546" i="2"/>
  <c r="L547" i="2"/>
  <c r="L548" i="2"/>
  <c r="L549" i="2"/>
  <c r="L550" i="2"/>
  <c r="L551" i="2"/>
  <c r="L552" i="2"/>
  <c r="L553" i="2"/>
  <c r="L554" i="2"/>
  <c r="L555" i="2"/>
  <c r="L556" i="2"/>
  <c r="L557" i="2"/>
  <c r="L558" i="2"/>
  <c r="L559" i="2"/>
  <c r="L560" i="2"/>
  <c r="L561" i="2"/>
  <c r="L562" i="2"/>
  <c r="L563" i="2"/>
  <c r="L564" i="2"/>
  <c r="L565" i="2"/>
  <c r="L566" i="2"/>
  <c r="L567" i="2"/>
  <c r="L568" i="2"/>
  <c r="L569" i="2"/>
  <c r="L570" i="2"/>
  <c r="L571" i="2"/>
  <c r="L572" i="2"/>
  <c r="L573" i="2"/>
  <c r="L574" i="2"/>
  <c r="L575" i="2"/>
  <c r="L576" i="2"/>
  <c r="L577" i="2"/>
  <c r="L578" i="2"/>
  <c r="L579" i="2"/>
  <c r="L580" i="2"/>
  <c r="L581" i="2"/>
  <c r="L582" i="2"/>
  <c r="L583" i="2"/>
  <c r="L584" i="2"/>
  <c r="L585" i="2"/>
  <c r="L586" i="2"/>
  <c r="L587" i="2"/>
  <c r="L588" i="2"/>
  <c r="L589" i="2"/>
  <c r="L590" i="2"/>
  <c r="L591" i="2"/>
  <c r="L592" i="2"/>
  <c r="L593" i="2"/>
  <c r="L594" i="2"/>
  <c r="L595" i="2"/>
  <c r="L596" i="2"/>
  <c r="L597" i="2"/>
  <c r="L598" i="2"/>
  <c r="L599" i="2"/>
  <c r="L600" i="2"/>
  <c r="L601" i="2"/>
  <c r="L602" i="2"/>
  <c r="L603" i="2"/>
  <c r="L604" i="2"/>
  <c r="L605" i="2"/>
  <c r="L606" i="2"/>
  <c r="L607" i="2"/>
  <c r="L608" i="2"/>
  <c r="L609" i="2"/>
  <c r="L610" i="2"/>
  <c r="L611" i="2"/>
  <c r="L612" i="2"/>
  <c r="L613" i="2"/>
  <c r="L614" i="2"/>
  <c r="L615" i="2"/>
  <c r="L616" i="2"/>
  <c r="L617" i="2"/>
  <c r="L618" i="2"/>
  <c r="L619" i="2"/>
  <c r="L620" i="2"/>
  <c r="L621" i="2"/>
  <c r="L622" i="2"/>
  <c r="L623" i="2"/>
  <c r="L624" i="2"/>
  <c r="L625" i="2"/>
  <c r="L626" i="2"/>
  <c r="L627" i="2"/>
  <c r="L628" i="2"/>
  <c r="L629" i="2"/>
  <c r="L630" i="2"/>
  <c r="L631" i="2"/>
  <c r="L632" i="2"/>
  <c r="L633" i="2"/>
  <c r="L634" i="2"/>
  <c r="L635" i="2"/>
  <c r="L636" i="2"/>
  <c r="L637" i="2"/>
  <c r="L638" i="2"/>
  <c r="L639" i="2"/>
  <c r="L640" i="2"/>
  <c r="L641" i="2"/>
  <c r="L642" i="2"/>
  <c r="L643" i="2"/>
  <c r="L644" i="2"/>
  <c r="L645" i="2"/>
  <c r="L646" i="2"/>
  <c r="L647" i="2"/>
  <c r="L648" i="2"/>
  <c r="L649" i="2"/>
  <c r="L650" i="2"/>
  <c r="L651" i="2"/>
  <c r="L652" i="2"/>
  <c r="L653" i="2"/>
  <c r="L654" i="2"/>
  <c r="L655" i="2"/>
  <c r="L656" i="2"/>
  <c r="L657" i="2"/>
  <c r="L658" i="2"/>
  <c r="L659" i="2"/>
  <c r="L660" i="2"/>
  <c r="L661" i="2"/>
  <c r="L662" i="2"/>
  <c r="L663" i="2"/>
  <c r="L664" i="2"/>
  <c r="L665" i="2"/>
  <c r="L666" i="2"/>
  <c r="L667" i="2"/>
  <c r="L668" i="2"/>
  <c r="L669" i="2"/>
  <c r="L670" i="2"/>
  <c r="L671" i="2"/>
  <c r="L672" i="2"/>
  <c r="L673" i="2"/>
  <c r="L674" i="2"/>
  <c r="L675" i="2"/>
  <c r="L676" i="2"/>
  <c r="L677" i="2"/>
  <c r="L678" i="2"/>
  <c r="L679" i="2"/>
  <c r="L680" i="2"/>
  <c r="L681" i="2"/>
  <c r="L682" i="2"/>
  <c r="L683" i="2"/>
  <c r="L684" i="2"/>
  <c r="L685" i="2"/>
  <c r="L686" i="2"/>
  <c r="L687" i="2"/>
  <c r="L688" i="2"/>
  <c r="L689" i="2"/>
  <c r="L690" i="2"/>
  <c r="L691" i="2"/>
  <c r="L692" i="2"/>
  <c r="L693" i="2"/>
  <c r="L694" i="2"/>
  <c r="L695" i="2"/>
  <c r="L696" i="2"/>
  <c r="L697" i="2"/>
  <c r="L698" i="2"/>
  <c r="L699" i="2"/>
  <c r="L700" i="2"/>
  <c r="L701" i="2"/>
  <c r="L702" i="2"/>
  <c r="L703" i="2"/>
  <c r="L704" i="2"/>
  <c r="L705" i="2"/>
  <c r="L706" i="2"/>
  <c r="L707" i="2"/>
  <c r="L708" i="2"/>
  <c r="L709" i="2"/>
  <c r="L710" i="2"/>
  <c r="L711" i="2"/>
  <c r="L712" i="2"/>
  <c r="L713" i="2"/>
  <c r="L714" i="2"/>
  <c r="L715" i="2"/>
  <c r="L716" i="2"/>
  <c r="L717" i="2"/>
  <c r="L718" i="2"/>
  <c r="L719" i="2"/>
  <c r="L720" i="2"/>
  <c r="L721" i="2"/>
  <c r="L722" i="2"/>
  <c r="L723" i="2"/>
  <c r="L724" i="2"/>
  <c r="L725" i="2"/>
  <c r="L726" i="2"/>
  <c r="L727" i="2"/>
  <c r="L728" i="2"/>
  <c r="L729" i="2"/>
  <c r="L730" i="2"/>
  <c r="L731" i="2"/>
  <c r="L732" i="2"/>
  <c r="L733" i="2"/>
  <c r="L734" i="2"/>
  <c r="L735" i="2"/>
  <c r="L736" i="2"/>
  <c r="L737" i="2"/>
  <c r="L738" i="2"/>
  <c r="L739" i="2"/>
  <c r="L740" i="2"/>
  <c r="L741" i="2"/>
  <c r="L742" i="2"/>
  <c r="L743" i="2"/>
  <c r="L744" i="2"/>
  <c r="L745" i="2"/>
  <c r="L746" i="2"/>
  <c r="L747" i="2"/>
  <c r="L748" i="2"/>
  <c r="L749" i="2"/>
  <c r="L750" i="2"/>
  <c r="L751" i="2"/>
  <c r="L752" i="2"/>
  <c r="L753" i="2"/>
  <c r="L754" i="2"/>
  <c r="L755" i="2"/>
  <c r="L756" i="2"/>
  <c r="L757" i="2"/>
  <c r="L758" i="2"/>
  <c r="L759" i="2"/>
  <c r="L760" i="2"/>
  <c r="L761" i="2"/>
  <c r="L762" i="2"/>
  <c r="L763" i="2"/>
  <c r="L764" i="2"/>
  <c r="L765" i="2"/>
  <c r="L766" i="2"/>
  <c r="L767" i="2"/>
  <c r="L768" i="2"/>
  <c r="L769" i="2"/>
  <c r="L770" i="2"/>
  <c r="L771" i="2"/>
  <c r="L772" i="2"/>
  <c r="L773" i="2"/>
  <c r="L774" i="2"/>
  <c r="L775" i="2"/>
  <c r="L776" i="2"/>
  <c r="L777" i="2"/>
  <c r="L778" i="2"/>
  <c r="L779" i="2"/>
  <c r="L780" i="2"/>
  <c r="L781" i="2"/>
  <c r="L782" i="2"/>
  <c r="L783" i="2"/>
  <c r="L784" i="2"/>
  <c r="L785" i="2"/>
  <c r="L786" i="2"/>
  <c r="L787" i="2"/>
  <c r="L788" i="2"/>
  <c r="L789" i="2"/>
  <c r="L790" i="2"/>
  <c r="L791" i="2"/>
  <c r="L792" i="2"/>
  <c r="L793" i="2"/>
  <c r="L794" i="2"/>
  <c r="L795" i="2"/>
  <c r="L796" i="2"/>
  <c r="L797" i="2"/>
  <c r="L798" i="2"/>
  <c r="L799" i="2"/>
  <c r="L800" i="2"/>
  <c r="L801" i="2"/>
  <c r="L802" i="2"/>
  <c r="L803" i="2"/>
  <c r="L804" i="2"/>
  <c r="L805" i="2"/>
  <c r="L806" i="2"/>
  <c r="L807" i="2"/>
  <c r="L808" i="2"/>
  <c r="L809" i="2"/>
  <c r="L810" i="2"/>
  <c r="L811" i="2"/>
  <c r="L812" i="2"/>
  <c r="L813" i="2"/>
  <c r="L814" i="2"/>
  <c r="L815" i="2"/>
  <c r="L816" i="2"/>
  <c r="L817" i="2"/>
  <c r="L818" i="2"/>
  <c r="L819" i="2"/>
  <c r="L820" i="2"/>
  <c r="L821" i="2"/>
  <c r="L822" i="2"/>
  <c r="L823" i="2"/>
  <c r="L824" i="2"/>
  <c r="L825" i="2"/>
  <c r="L826" i="2"/>
  <c r="L827" i="2"/>
  <c r="L828" i="2"/>
  <c r="L829" i="2"/>
  <c r="L830" i="2"/>
  <c r="L831" i="2"/>
  <c r="L832" i="2"/>
  <c r="L833" i="2"/>
  <c r="L834" i="2"/>
  <c r="L835" i="2"/>
  <c r="L836" i="2"/>
  <c r="L837" i="2"/>
  <c r="L838" i="2"/>
  <c r="L839" i="2"/>
  <c r="L840" i="2"/>
  <c r="L841" i="2"/>
  <c r="L842" i="2"/>
  <c r="L843" i="2"/>
  <c r="L844" i="2"/>
  <c r="L845" i="2"/>
  <c r="L846" i="2"/>
  <c r="L847" i="2"/>
  <c r="L848" i="2"/>
  <c r="L849" i="2"/>
  <c r="L850" i="2"/>
  <c r="L851" i="2"/>
  <c r="L852" i="2"/>
  <c r="L853" i="2"/>
  <c r="L854" i="2"/>
  <c r="L855" i="2"/>
  <c r="L856" i="2"/>
  <c r="L857" i="2"/>
  <c r="L858" i="2"/>
  <c r="L859" i="2"/>
  <c r="L860" i="2"/>
  <c r="L861" i="2"/>
  <c r="L862" i="2"/>
  <c r="L863" i="2"/>
  <c r="L864" i="2"/>
  <c r="L865" i="2"/>
  <c r="L866" i="2"/>
  <c r="L867" i="2"/>
  <c r="L868" i="2"/>
  <c r="L869" i="2"/>
  <c r="L870" i="2"/>
  <c r="L871" i="2"/>
  <c r="L872" i="2"/>
  <c r="L873" i="2"/>
  <c r="L874" i="2"/>
  <c r="L875" i="2"/>
  <c r="L876" i="2"/>
  <c r="L877" i="2"/>
  <c r="L878" i="2"/>
  <c r="L879" i="2"/>
  <c r="L880" i="2"/>
  <c r="L881" i="2"/>
  <c r="L882" i="2"/>
  <c r="L883" i="2"/>
  <c r="L884" i="2"/>
  <c r="L885" i="2"/>
  <c r="L886" i="2"/>
  <c r="L887" i="2"/>
  <c r="L888" i="2"/>
  <c r="L889" i="2"/>
  <c r="L890" i="2"/>
  <c r="L891" i="2"/>
  <c r="L892" i="2"/>
  <c r="L893" i="2"/>
  <c r="L894" i="2"/>
  <c r="L895" i="2"/>
  <c r="L896" i="2"/>
  <c r="L897" i="2"/>
  <c r="L898" i="2"/>
  <c r="L899" i="2"/>
  <c r="L900" i="2"/>
  <c r="L901" i="2"/>
  <c r="L902" i="2"/>
  <c r="L903" i="2"/>
  <c r="L904" i="2"/>
  <c r="L905" i="2"/>
  <c r="L906" i="2"/>
  <c r="L907" i="2"/>
  <c r="L908" i="2"/>
  <c r="L909" i="2"/>
  <c r="L910" i="2"/>
  <c r="L911" i="2"/>
  <c r="L912" i="2"/>
  <c r="L913" i="2"/>
  <c r="L914" i="2"/>
  <c r="L915" i="2"/>
  <c r="L916" i="2"/>
  <c r="L917" i="2"/>
  <c r="L918" i="2"/>
  <c r="L919" i="2"/>
  <c r="L920" i="2"/>
  <c r="L921" i="2"/>
  <c r="L922" i="2"/>
  <c r="L923" i="2"/>
  <c r="L924" i="2"/>
  <c r="L925" i="2"/>
  <c r="L926" i="2"/>
  <c r="L927" i="2"/>
  <c r="L928" i="2"/>
  <c r="L929" i="2"/>
  <c r="L930" i="2"/>
  <c r="L931" i="2"/>
  <c r="L932" i="2"/>
  <c r="L933" i="2"/>
  <c r="L934" i="2"/>
  <c r="L935" i="2"/>
  <c r="L936" i="2"/>
  <c r="L937" i="2"/>
  <c r="L938" i="2"/>
  <c r="L939" i="2"/>
  <c r="L940" i="2"/>
  <c r="L941" i="2"/>
  <c r="L942" i="2"/>
  <c r="L943" i="2"/>
  <c r="L944" i="2"/>
  <c r="L945" i="2"/>
  <c r="L946" i="2"/>
  <c r="L947" i="2"/>
  <c r="L948" i="2"/>
  <c r="L949" i="2"/>
  <c r="L950" i="2"/>
  <c r="L951" i="2"/>
  <c r="L952" i="2"/>
  <c r="L953" i="2"/>
  <c r="L954" i="2"/>
  <c r="L955" i="2"/>
  <c r="L956" i="2"/>
  <c r="L957" i="2"/>
  <c r="L958" i="2"/>
  <c r="L959" i="2"/>
  <c r="L960" i="2"/>
  <c r="L961" i="2"/>
  <c r="L962" i="2"/>
  <c r="L963" i="2"/>
  <c r="L964" i="2"/>
  <c r="L965" i="2"/>
  <c r="L966" i="2"/>
  <c r="L967" i="2"/>
  <c r="L968" i="2"/>
  <c r="L969" i="2"/>
  <c r="L970" i="2"/>
  <c r="L971" i="2"/>
  <c r="L972" i="2"/>
  <c r="L973" i="2"/>
  <c r="L974" i="2"/>
  <c r="L975" i="2"/>
  <c r="L976" i="2"/>
  <c r="L977" i="2"/>
  <c r="L978" i="2"/>
  <c r="L979" i="2"/>
  <c r="L980" i="2"/>
  <c r="L981" i="2"/>
  <c r="L982" i="2"/>
  <c r="L983" i="2"/>
  <c r="L984" i="2"/>
  <c r="L985" i="2"/>
  <c r="L986" i="2"/>
  <c r="L987" i="2"/>
  <c r="L988" i="2"/>
  <c r="L989" i="2"/>
  <c r="L990" i="2"/>
  <c r="L991" i="2"/>
  <c r="L992" i="2"/>
  <c r="L993" i="2"/>
  <c r="L994" i="2"/>
  <c r="L995" i="2"/>
  <c r="L996" i="2"/>
  <c r="L997" i="2"/>
  <c r="L998" i="2"/>
  <c r="L999" i="2"/>
  <c r="L1000" i="2"/>
  <c r="L1001" i="2"/>
  <c r="L1002" i="2"/>
  <c r="L1003" i="2"/>
  <c r="L1004" i="2"/>
  <c r="L1005" i="2"/>
  <c r="L1006" i="2"/>
  <c r="L1007" i="2"/>
  <c r="L1008" i="2"/>
  <c r="L1009" i="2"/>
  <c r="L1010" i="2"/>
  <c r="L1011" i="2"/>
  <c r="L1012" i="2"/>
  <c r="L1013" i="2"/>
  <c r="L1014" i="2"/>
  <c r="L1015" i="2"/>
  <c r="L1016" i="2"/>
  <c r="L1017" i="2"/>
  <c r="L1018" i="2"/>
  <c r="L1019" i="2"/>
  <c r="L1020" i="2"/>
  <c r="L1021" i="2"/>
  <c r="L1022" i="2"/>
  <c r="L1023" i="2"/>
  <c r="L1024" i="2"/>
  <c r="L1025" i="2"/>
  <c r="L1026" i="2"/>
  <c r="L1027" i="2"/>
  <c r="L1028" i="2"/>
  <c r="L1029" i="2"/>
  <c r="L1030" i="2"/>
  <c r="L1031" i="2"/>
  <c r="L1032" i="2"/>
  <c r="L1033" i="2"/>
  <c r="L1034" i="2"/>
  <c r="L1035" i="2"/>
  <c r="L1036" i="2"/>
  <c r="L1037" i="2"/>
  <c r="L1038" i="2"/>
  <c r="L1039" i="2"/>
  <c r="L1040" i="2"/>
  <c r="L1041" i="2"/>
  <c r="L1042" i="2"/>
  <c r="L1043" i="2"/>
  <c r="L1044" i="2"/>
  <c r="L1045" i="2"/>
  <c r="L1046" i="2"/>
  <c r="L1047" i="2"/>
  <c r="L1048" i="2"/>
  <c r="L1049" i="2"/>
  <c r="L1050" i="2"/>
  <c r="L1051" i="2"/>
  <c r="L1052" i="2"/>
  <c r="L1053" i="2"/>
  <c r="L1054" i="2"/>
  <c r="L1055" i="2"/>
  <c r="L1056" i="2"/>
  <c r="L1057" i="2"/>
  <c r="L1058" i="2"/>
  <c r="L1059" i="2"/>
  <c r="L1060" i="2"/>
  <c r="L1061" i="2"/>
  <c r="L1062" i="2"/>
  <c r="L1063" i="2"/>
  <c r="L1064" i="2"/>
  <c r="L1065" i="2"/>
  <c r="L1066" i="2"/>
  <c r="L1067" i="2"/>
  <c r="L1068" i="2"/>
  <c r="L1069" i="2"/>
  <c r="L1070" i="2"/>
  <c r="L1071" i="2"/>
  <c r="L1072" i="2"/>
  <c r="L1073" i="2"/>
  <c r="L1074" i="2"/>
  <c r="L1075" i="2"/>
  <c r="L1076" i="2"/>
  <c r="L1077" i="2"/>
  <c r="L1078" i="2"/>
  <c r="L1079" i="2"/>
  <c r="L1080" i="2"/>
  <c r="L1081" i="2"/>
  <c r="L1082" i="2"/>
  <c r="L1083" i="2"/>
  <c r="L1084" i="2"/>
  <c r="L1085" i="2"/>
  <c r="L1086" i="2"/>
  <c r="L1087" i="2"/>
  <c r="L1088" i="2"/>
  <c r="L1089" i="2"/>
  <c r="L1090" i="2"/>
  <c r="L1091" i="2"/>
  <c r="L1092" i="2"/>
  <c r="L1093" i="2"/>
  <c r="L1094" i="2"/>
  <c r="L1095" i="2"/>
  <c r="L1096" i="2"/>
  <c r="L1097" i="2"/>
  <c r="L1098" i="2"/>
  <c r="L1099" i="2"/>
  <c r="L1100" i="2"/>
  <c r="L1101" i="2"/>
  <c r="L1102" i="2"/>
  <c r="L1103" i="2"/>
  <c r="L1104" i="2"/>
  <c r="L1105" i="2"/>
  <c r="L1106" i="2"/>
  <c r="L1107" i="2"/>
  <c r="L1108" i="2"/>
  <c r="L1109" i="2"/>
  <c r="L1110" i="2"/>
  <c r="L1111" i="2"/>
  <c r="L1112" i="2"/>
  <c r="L1113" i="2"/>
  <c r="L1114" i="2"/>
  <c r="L1115" i="2"/>
  <c r="L1116" i="2"/>
  <c r="L1117" i="2"/>
  <c r="L1118" i="2"/>
  <c r="L1119" i="2"/>
  <c r="L1120" i="2"/>
  <c r="L1121" i="2"/>
  <c r="L1122" i="2"/>
  <c r="L1123" i="2"/>
  <c r="L1124" i="2"/>
  <c r="L1125" i="2"/>
  <c r="L1126" i="2"/>
  <c r="L1127" i="2"/>
  <c r="L1128" i="2"/>
  <c r="L1129" i="2"/>
  <c r="L1130" i="2"/>
  <c r="L1131" i="2"/>
  <c r="L1132" i="2"/>
  <c r="L1133" i="2"/>
  <c r="L1134" i="2"/>
  <c r="L1135" i="2"/>
  <c r="L1136" i="2"/>
  <c r="L1137" i="2"/>
  <c r="L1138" i="2"/>
  <c r="L1139" i="2"/>
  <c r="L1140" i="2"/>
  <c r="L1141" i="2"/>
  <c r="L1142" i="2"/>
  <c r="L1143" i="2"/>
  <c r="L1144" i="2"/>
  <c r="L1145" i="2"/>
  <c r="L1146" i="2"/>
  <c r="L1147" i="2"/>
  <c r="L1148" i="2"/>
  <c r="L1149" i="2"/>
  <c r="L1150" i="2"/>
  <c r="L1151" i="2"/>
  <c r="L1152" i="2"/>
  <c r="L1153" i="2"/>
  <c r="L1154" i="2"/>
  <c r="L1155" i="2"/>
  <c r="L1156" i="2"/>
  <c r="L1157" i="2"/>
  <c r="L1158" i="2"/>
  <c r="L1159" i="2"/>
  <c r="L1160" i="2"/>
  <c r="L1161" i="2"/>
  <c r="L1162" i="2"/>
  <c r="L1163" i="2"/>
  <c r="L1164" i="2"/>
  <c r="L1165" i="2"/>
  <c r="L1166" i="2"/>
  <c r="L1167" i="2"/>
  <c r="L1168" i="2"/>
  <c r="L1169" i="2"/>
  <c r="L1170" i="2"/>
  <c r="L1171" i="2"/>
  <c r="L1172" i="2"/>
  <c r="L1173" i="2"/>
  <c r="L1174" i="2"/>
  <c r="L1175" i="2"/>
  <c r="L1176" i="2"/>
  <c r="L1177" i="2"/>
  <c r="L1178" i="2"/>
  <c r="L1179" i="2"/>
  <c r="L1180" i="2"/>
  <c r="L1181" i="2"/>
  <c r="L1182" i="2"/>
  <c r="L1183" i="2"/>
  <c r="L1184" i="2"/>
  <c r="L1185" i="2"/>
  <c r="L1186" i="2"/>
  <c r="L1187" i="2"/>
  <c r="L1188" i="2"/>
  <c r="L1189" i="2"/>
  <c r="L1190" i="2"/>
  <c r="L1191" i="2"/>
  <c r="L1192" i="2"/>
  <c r="L1193" i="2"/>
  <c r="L1194" i="2"/>
  <c r="L1195" i="2"/>
  <c r="L1196" i="2"/>
  <c r="L1197" i="2"/>
  <c r="L1198" i="2"/>
  <c r="L1199" i="2"/>
  <c r="L1200" i="2"/>
  <c r="L1201" i="2"/>
  <c r="L1202" i="2"/>
  <c r="L1203" i="2"/>
  <c r="L1204" i="2"/>
  <c r="L1205" i="2"/>
  <c r="L1206" i="2"/>
  <c r="L1207" i="2"/>
  <c r="L1208" i="2"/>
  <c r="L1209" i="2"/>
  <c r="L1210" i="2"/>
  <c r="L1211" i="2"/>
  <c r="L1212" i="2"/>
  <c r="L1213" i="2"/>
  <c r="L1214" i="2"/>
  <c r="L1215" i="2"/>
  <c r="L1216" i="2"/>
  <c r="L1217" i="2"/>
  <c r="L1218" i="2"/>
  <c r="L1219" i="2"/>
  <c r="L1220" i="2"/>
  <c r="L1221" i="2"/>
  <c r="L1222" i="2"/>
  <c r="L1223" i="2"/>
  <c r="L1224" i="2"/>
  <c r="L1225" i="2"/>
  <c r="L1226" i="2"/>
  <c r="L1227" i="2"/>
  <c r="L1228" i="2"/>
  <c r="L1229" i="2"/>
  <c r="L1230" i="2"/>
  <c r="L1231" i="2"/>
  <c r="L1232" i="2"/>
  <c r="L1233" i="2"/>
  <c r="L1234" i="2"/>
  <c r="L1235" i="2"/>
  <c r="L1236" i="2"/>
  <c r="L1237" i="2"/>
  <c r="L1238" i="2"/>
  <c r="L1239" i="2"/>
  <c r="L1240" i="2"/>
  <c r="L1241" i="2"/>
  <c r="L1242" i="2"/>
  <c r="L1243" i="2"/>
  <c r="L1244" i="2"/>
  <c r="L1245" i="2"/>
  <c r="L1246" i="2"/>
  <c r="L1247" i="2"/>
  <c r="L1248" i="2"/>
  <c r="L1249" i="2"/>
  <c r="L1250" i="2"/>
  <c r="L1251" i="2"/>
  <c r="L1252" i="2"/>
  <c r="L1253" i="2"/>
  <c r="L1254" i="2"/>
  <c r="L1255" i="2"/>
  <c r="L1256" i="2"/>
  <c r="L1257" i="2"/>
  <c r="L1258" i="2"/>
  <c r="L1259" i="2"/>
  <c r="L1260" i="2"/>
  <c r="L1261" i="2"/>
  <c r="L1262" i="2"/>
  <c r="L1263" i="2"/>
  <c r="L1264" i="2"/>
  <c r="L1265" i="2"/>
  <c r="L1266" i="2"/>
  <c r="L1267" i="2"/>
  <c r="L1268" i="2"/>
  <c r="L1269" i="2"/>
  <c r="L1270" i="2"/>
  <c r="L1271" i="2"/>
  <c r="L1272" i="2"/>
  <c r="L1273" i="2"/>
  <c r="L1274" i="2"/>
  <c r="L1275" i="2"/>
  <c r="L1276" i="2"/>
  <c r="L1277" i="2"/>
  <c r="L1278" i="2"/>
  <c r="L1279" i="2"/>
  <c r="L1280" i="2"/>
  <c r="L1281" i="2"/>
  <c r="L1282" i="2"/>
  <c r="L1283" i="2"/>
  <c r="L1284" i="2"/>
  <c r="L1285" i="2"/>
  <c r="L1286" i="2"/>
  <c r="L1287" i="2"/>
  <c r="L1288" i="2"/>
  <c r="L1289" i="2"/>
  <c r="L1290" i="2"/>
  <c r="L1291" i="2"/>
  <c r="L1292" i="2"/>
  <c r="L1293" i="2"/>
  <c r="L1294" i="2"/>
  <c r="L1295" i="2"/>
  <c r="L1296" i="2"/>
  <c r="L1297" i="2"/>
  <c r="L1298" i="2"/>
  <c r="L1299" i="2"/>
  <c r="L1300" i="2"/>
  <c r="L1301" i="2"/>
  <c r="L1302" i="2"/>
  <c r="L1303" i="2"/>
  <c r="L1304" i="2"/>
  <c r="L1305" i="2"/>
  <c r="L1306" i="2"/>
  <c r="L1307" i="2"/>
  <c r="L1308" i="2"/>
  <c r="L1309" i="2"/>
  <c r="L1310" i="2"/>
  <c r="L1311" i="2"/>
  <c r="L1312" i="2"/>
  <c r="L1313" i="2"/>
  <c r="L1314" i="2"/>
  <c r="L1315" i="2"/>
  <c r="L1316" i="2"/>
  <c r="L1317" i="2"/>
  <c r="L1318" i="2"/>
  <c r="L1319" i="2"/>
  <c r="L1320" i="2"/>
  <c r="L1321" i="2"/>
  <c r="L1322" i="2"/>
  <c r="L1323" i="2"/>
  <c r="L1324" i="2"/>
  <c r="L1325" i="2"/>
  <c r="L1326" i="2"/>
  <c r="L1327" i="2"/>
  <c r="L1328" i="2"/>
  <c r="L1329" i="2"/>
  <c r="L1330" i="2"/>
  <c r="L1331" i="2"/>
  <c r="L1332" i="2"/>
  <c r="L1333" i="2"/>
  <c r="L1334" i="2"/>
  <c r="L1335" i="2"/>
  <c r="L1336" i="2"/>
  <c r="L1337" i="2"/>
  <c r="L1338" i="2"/>
  <c r="L1339" i="2"/>
  <c r="L1340" i="2"/>
  <c r="L1341" i="2"/>
  <c r="L1342" i="2"/>
  <c r="L1343" i="2"/>
  <c r="L1344" i="2"/>
  <c r="L1345" i="2"/>
  <c r="L1346" i="2"/>
  <c r="L1347" i="2"/>
  <c r="L1348" i="2"/>
  <c r="L1349" i="2"/>
  <c r="L1350" i="2"/>
  <c r="L1351" i="2"/>
  <c r="L1352" i="2"/>
  <c r="L1353" i="2"/>
  <c r="L1354" i="2"/>
  <c r="L1355" i="2"/>
  <c r="L1356" i="2"/>
  <c r="L1357" i="2"/>
  <c r="L1358" i="2"/>
  <c r="L1359" i="2"/>
  <c r="L1360" i="2"/>
  <c r="L1361" i="2"/>
  <c r="L1362" i="2"/>
  <c r="L1363" i="2"/>
  <c r="L1364" i="2"/>
  <c r="L1365" i="2"/>
  <c r="L1366" i="2"/>
  <c r="L1367" i="2"/>
  <c r="L1368" i="2"/>
  <c r="L1369" i="2"/>
  <c r="L1370" i="2"/>
  <c r="L1371" i="2"/>
  <c r="L1372" i="2"/>
  <c r="L1373" i="2"/>
  <c r="L1374" i="2"/>
  <c r="L1375" i="2"/>
  <c r="L1376" i="2"/>
  <c r="L1377" i="2"/>
  <c r="L1378" i="2"/>
  <c r="L1379" i="2"/>
  <c r="L1380" i="2"/>
  <c r="L1381" i="2"/>
  <c r="L1382" i="2"/>
  <c r="L1383" i="2"/>
  <c r="L1384" i="2"/>
  <c r="L1385" i="2"/>
  <c r="L1386" i="2"/>
  <c r="L1387" i="2"/>
  <c r="L1388" i="2"/>
  <c r="L1389" i="2"/>
  <c r="L1390" i="2"/>
  <c r="L1391" i="2"/>
  <c r="L1392" i="2"/>
  <c r="L1393" i="2"/>
  <c r="L1394" i="2"/>
  <c r="L1395" i="2"/>
  <c r="L1396" i="2"/>
  <c r="L1397" i="2"/>
  <c r="L1398" i="2"/>
  <c r="L1399" i="2"/>
  <c r="L1400" i="2"/>
  <c r="L1401" i="2"/>
  <c r="L1402" i="2"/>
  <c r="L1403" i="2"/>
  <c r="L1404" i="2"/>
  <c r="L1405" i="2"/>
  <c r="L1406" i="2"/>
  <c r="L1407" i="2"/>
  <c r="L1408" i="2"/>
  <c r="L1409" i="2"/>
  <c r="L1410" i="2"/>
  <c r="L1413" i="2"/>
  <c r="L1414" i="2"/>
  <c r="L1415" i="2"/>
  <c r="L1416" i="2"/>
  <c r="L1417" i="2"/>
  <c r="L1418" i="2"/>
  <c r="L1419" i="2"/>
  <c r="L1420" i="2"/>
  <c r="L1421" i="2"/>
  <c r="L1422" i="2"/>
  <c r="L1423" i="2"/>
  <c r="L1425" i="2"/>
  <c r="L1426" i="2"/>
  <c r="L1428" i="2"/>
  <c r="L1429" i="2"/>
  <c r="L1430" i="2"/>
  <c r="L1431" i="2"/>
  <c r="L1433" i="2"/>
  <c r="L1434" i="2"/>
  <c r="L1435" i="2"/>
  <c r="L1436" i="2"/>
  <c r="L1437" i="2"/>
  <c r="L1438" i="2"/>
  <c r="L1439" i="2"/>
  <c r="L1440" i="2"/>
  <c r="L1441" i="2"/>
  <c r="L1442" i="2"/>
  <c r="L1443" i="2"/>
  <c r="L1444" i="2"/>
  <c r="L1445" i="2"/>
  <c r="L1446" i="2"/>
  <c r="L1450" i="2"/>
  <c r="L1451" i="2"/>
  <c r="L1452" i="2"/>
  <c r="L1456" i="2"/>
  <c r="L1459" i="2"/>
  <c r="L1460" i="2"/>
  <c r="L1462" i="2"/>
  <c r="L1463" i="2"/>
  <c r="L1464" i="2"/>
  <c r="L1465" i="2"/>
  <c r="L1467" i="2"/>
  <c r="L1469" i="2"/>
  <c r="L1470" i="2"/>
  <c r="L1471" i="2"/>
  <c r="L1473" i="2"/>
  <c r="L1474" i="2"/>
  <c r="L1475" i="2"/>
  <c r="L1476" i="2"/>
  <c r="L1477" i="2"/>
  <c r="L1480" i="2"/>
  <c r="L1482" i="2"/>
  <c r="L1483" i="2"/>
  <c r="L1486" i="2"/>
  <c r="L1488" i="2"/>
  <c r="L1490" i="2"/>
  <c r="L1491" i="2"/>
  <c r="L1494" i="2"/>
  <c r="L1495" i="2"/>
  <c r="L1500" i="2"/>
  <c r="L1503" i="2"/>
  <c r="L1504" i="2"/>
  <c r="T1404" i="2" l="1"/>
  <c r="V1404" i="2" s="1"/>
  <c r="T1401" i="2" l="1"/>
  <c r="V1401" i="2" s="1"/>
  <c r="T1400" i="2"/>
  <c r="V1400" i="2" s="1"/>
  <c r="T1392" i="2" l="1"/>
  <c r="V1392" i="2" s="1"/>
  <c r="T1385" i="2" l="1"/>
  <c r="V1385" i="2" s="1"/>
  <c r="T1384" i="2"/>
  <c r="V1384" i="2" s="1"/>
  <c r="T1377" i="2" l="1"/>
  <c r="V1377" i="2" s="1"/>
  <c r="T1365" i="2" l="1"/>
  <c r="V1365" i="2" s="1"/>
  <c r="T1363" i="2" l="1"/>
  <c r="V1363" i="2" s="1"/>
  <c r="T1362" i="2"/>
  <c r="V1362" i="2" s="1"/>
  <c r="T1354" i="2" l="1"/>
  <c r="V1354" i="2" s="1"/>
  <c r="T1350" i="2" l="1"/>
  <c r="V1350" i="2" s="1"/>
  <c r="T1349" i="2" l="1"/>
  <c r="V1349" i="2" s="1"/>
  <c r="T1348" i="2" l="1"/>
  <c r="V1348" i="2" s="1"/>
  <c r="T1347" i="2"/>
  <c r="V1347" i="2" s="1"/>
  <c r="T1343" i="2" l="1"/>
  <c r="V1343" i="2" s="1"/>
  <c r="T1338" i="2" l="1"/>
  <c r="V1338" i="2" s="1"/>
  <c r="T1337" i="2"/>
  <c r="V1337" i="2" s="1"/>
  <c r="T1336" i="2"/>
  <c r="V1336" i="2" s="1"/>
  <c r="T1335" i="2"/>
  <c r="V1335" i="2" s="1"/>
  <c r="T1351" i="2" l="1"/>
  <c r="V1351" i="2" s="1"/>
  <c r="T1352" i="2"/>
  <c r="V1352" i="2" s="1"/>
  <c r="T1353" i="2"/>
  <c r="V1353" i="2" s="1"/>
  <c r="T1355" i="2"/>
  <c r="V1355" i="2" s="1"/>
  <c r="T1356" i="2"/>
  <c r="V1356" i="2" s="1"/>
  <c r="T1357" i="2"/>
  <c r="V1357" i="2" s="1"/>
  <c r="T1358" i="2"/>
  <c r="V1358" i="2" s="1"/>
  <c r="T1359" i="2"/>
  <c r="V1359" i="2" s="1"/>
  <c r="T1360" i="2"/>
  <c r="V1360" i="2" s="1"/>
  <c r="T1361" i="2"/>
  <c r="V1361" i="2" s="1"/>
  <c r="T1364" i="2"/>
  <c r="V1364" i="2" s="1"/>
  <c r="T1366" i="2"/>
  <c r="V1366" i="2" s="1"/>
  <c r="T1367" i="2"/>
  <c r="V1367" i="2" s="1"/>
  <c r="T1368" i="2"/>
  <c r="V1368" i="2" s="1"/>
  <c r="T1369" i="2"/>
  <c r="V1369" i="2" s="1"/>
  <c r="T1370" i="2"/>
  <c r="V1370" i="2" s="1"/>
  <c r="T1371" i="2"/>
  <c r="V1371" i="2" s="1"/>
  <c r="T1372" i="2"/>
  <c r="T1373" i="2"/>
  <c r="V1373" i="2" s="1"/>
  <c r="T1374" i="2"/>
  <c r="V1374" i="2" s="1"/>
  <c r="T1375" i="2"/>
  <c r="V1375" i="2" s="1"/>
  <c r="T1376" i="2"/>
  <c r="V1376" i="2" s="1"/>
  <c r="T1378" i="2"/>
  <c r="V1378" i="2" s="1"/>
  <c r="T1379" i="2"/>
  <c r="V1379" i="2" s="1"/>
  <c r="T1380" i="2"/>
  <c r="V1380" i="2" s="1"/>
  <c r="T1381" i="2"/>
  <c r="V1381" i="2" s="1"/>
  <c r="T1382" i="2"/>
  <c r="V1382" i="2" s="1"/>
  <c r="T1383" i="2"/>
  <c r="V1383" i="2" s="1"/>
  <c r="T1386" i="2"/>
  <c r="V1386" i="2" s="1"/>
  <c r="T1387" i="2"/>
  <c r="V1387" i="2" s="1"/>
  <c r="T1388" i="2"/>
  <c r="V1388" i="2" s="1"/>
  <c r="T1389" i="2"/>
  <c r="V1389" i="2" s="1"/>
  <c r="T1390" i="2"/>
  <c r="V1390" i="2" s="1"/>
  <c r="T1391" i="2"/>
  <c r="V1391" i="2" s="1"/>
  <c r="T1393" i="2"/>
  <c r="V1393" i="2" s="1"/>
  <c r="T1394" i="2"/>
  <c r="V1394" i="2" s="1"/>
  <c r="T1395" i="2"/>
  <c r="V1395" i="2" s="1"/>
  <c r="T1396" i="2"/>
  <c r="V1396" i="2" s="1"/>
  <c r="T1397" i="2"/>
  <c r="V1397" i="2" s="1"/>
  <c r="T1398" i="2"/>
  <c r="V1398" i="2" s="1"/>
  <c r="T1399" i="2"/>
  <c r="V1399" i="2" s="1"/>
  <c r="T1402" i="2"/>
  <c r="V1402" i="2" s="1"/>
  <c r="T1403" i="2"/>
  <c r="V1403" i="2" s="1"/>
  <c r="T1405" i="2"/>
  <c r="V1405" i="2" s="1"/>
  <c r="T1406" i="2"/>
  <c r="V1406" i="2" s="1"/>
  <c r="T1407" i="2"/>
  <c r="V1407" i="2" s="1"/>
  <c r="T1408" i="2"/>
  <c r="V1408" i="2" s="1"/>
  <c r="T1409" i="2"/>
  <c r="V1409" i="2" s="1"/>
  <c r="T1410" i="2"/>
  <c r="V1410" i="2" s="1"/>
  <c r="T1411" i="2"/>
  <c r="V1411" i="2" s="1"/>
  <c r="T1413" i="2"/>
  <c r="V1413" i="2" s="1"/>
  <c r="T1414" i="2"/>
  <c r="V1414" i="2" s="1"/>
  <c r="T1415" i="2"/>
  <c r="V1415" i="2" s="1"/>
  <c r="T1416" i="2"/>
  <c r="V1416" i="2" s="1"/>
  <c r="T1417" i="2"/>
  <c r="V1417" i="2" s="1"/>
  <c r="T1418" i="2"/>
  <c r="V1418" i="2" s="1"/>
  <c r="T1419" i="2"/>
  <c r="V1419" i="2" s="1"/>
  <c r="T1420" i="2"/>
  <c r="V1420" i="2" s="1"/>
  <c r="T1421" i="2"/>
  <c r="V1421" i="2" s="1"/>
  <c r="T1422" i="2"/>
  <c r="V1422" i="2" s="1"/>
  <c r="T1423" i="2"/>
  <c r="V1423" i="2" s="1"/>
  <c r="T1425" i="2"/>
  <c r="V1425" i="2" s="1"/>
  <c r="T1426" i="2"/>
  <c r="V1426" i="2" s="1"/>
  <c r="T1428" i="2"/>
  <c r="V1428" i="2" s="1"/>
  <c r="T1429" i="2"/>
  <c r="V1429" i="2" s="1"/>
  <c r="T1430" i="2"/>
  <c r="V1430" i="2" s="1"/>
  <c r="T1431" i="2"/>
  <c r="V1431" i="2" s="1"/>
  <c r="T1433" i="2"/>
  <c r="V1433" i="2" s="1"/>
  <c r="T1434" i="2"/>
  <c r="V1434" i="2" s="1"/>
  <c r="T1435" i="2"/>
  <c r="V1435" i="2" s="1"/>
  <c r="T1437" i="2"/>
  <c r="V1437" i="2" s="1"/>
  <c r="T1438" i="2"/>
  <c r="V1438" i="2" s="1"/>
  <c r="T1439" i="2"/>
  <c r="V1439" i="2" s="1"/>
  <c r="T1440" i="2"/>
  <c r="V1440" i="2" s="1"/>
  <c r="T1441" i="2"/>
  <c r="V1441" i="2" s="1"/>
  <c r="T1442" i="2"/>
  <c r="V1442" i="2" s="1"/>
  <c r="T1443" i="2"/>
  <c r="V1443" i="2" s="1"/>
  <c r="T1444" i="2"/>
  <c r="V1444" i="2" s="1"/>
  <c r="T1445" i="2"/>
  <c r="V1445" i="2" s="1"/>
  <c r="T1446" i="2"/>
  <c r="V1446" i="2" s="1"/>
  <c r="T1447" i="2"/>
  <c r="V1447" i="2" s="1"/>
  <c r="T1449" i="2"/>
  <c r="V1449" i="2" s="1"/>
  <c r="T1450" i="2"/>
  <c r="V1450" i="2" s="1"/>
  <c r="T1451" i="2"/>
  <c r="V1451" i="2" s="1"/>
  <c r="T1452" i="2"/>
  <c r="V1452" i="2" s="1"/>
  <c r="T1454" i="2"/>
  <c r="V1454" i="2" s="1"/>
  <c r="T1455" i="2"/>
  <c r="V1455" i="2" s="1"/>
  <c r="T1456" i="2"/>
  <c r="V1456" i="2" s="1"/>
  <c r="T1457" i="2"/>
  <c r="V1457" i="2" s="1"/>
  <c r="T1459" i="2"/>
  <c r="V1459" i="2" s="1"/>
  <c r="T1460" i="2"/>
  <c r="V1460" i="2" s="1"/>
  <c r="T1461" i="2"/>
  <c r="V1461" i="2" s="1"/>
  <c r="T1462" i="2"/>
  <c r="V1462" i="2" s="1"/>
  <c r="T1463" i="2"/>
  <c r="V1463" i="2" s="1"/>
  <c r="T1464" i="2"/>
  <c r="V1464" i="2" s="1"/>
  <c r="T1465" i="2"/>
  <c r="V1465" i="2" s="1"/>
  <c r="T1467" i="2"/>
  <c r="V1467" i="2" s="1"/>
  <c r="T1469" i="2"/>
  <c r="V1469" i="2" s="1"/>
  <c r="T1470" i="2"/>
  <c r="V1470" i="2" s="1"/>
  <c r="T1471" i="2"/>
  <c r="V1471" i="2" s="1"/>
  <c r="T1473" i="2"/>
  <c r="V1473" i="2" s="1"/>
  <c r="T1474" i="2"/>
  <c r="V1474" i="2" s="1"/>
  <c r="T1475" i="2"/>
  <c r="V1475" i="2" s="1"/>
  <c r="T1476" i="2"/>
  <c r="V1476" i="2" s="1"/>
  <c r="T1477" i="2"/>
  <c r="V1477" i="2" s="1"/>
  <c r="T1478" i="2"/>
  <c r="V1478" i="2" s="1"/>
  <c r="T1479" i="2"/>
  <c r="V1479" i="2" s="1"/>
  <c r="T1480" i="2"/>
  <c r="V1480" i="2" s="1"/>
  <c r="T1481" i="2"/>
  <c r="V1481" i="2" s="1"/>
  <c r="T1482" i="2"/>
  <c r="V1482" i="2" s="1"/>
  <c r="T1483" i="2"/>
  <c r="V1483" i="2" s="1"/>
  <c r="T1486" i="2"/>
  <c r="V1486" i="2" s="1"/>
  <c r="T1488" i="2"/>
  <c r="V1488" i="2" s="1"/>
  <c r="T1489" i="2"/>
  <c r="V1489" i="2" s="1"/>
  <c r="T1490" i="2"/>
  <c r="V1490" i="2" s="1"/>
  <c r="T1491" i="2"/>
  <c r="V1491" i="2" s="1"/>
  <c r="T1494" i="2"/>
  <c r="V1494" i="2" s="1"/>
  <c r="T1495" i="2"/>
  <c r="V1495" i="2" s="1"/>
  <c r="T1496" i="2"/>
  <c r="V1496" i="2" s="1"/>
  <c r="T1497" i="2"/>
  <c r="V1497" i="2" s="1"/>
  <c r="T1500" i="2"/>
  <c r="V1500" i="2" s="1"/>
  <c r="T1501" i="2"/>
  <c r="V1501" i="2" s="1"/>
  <c r="T1502" i="2"/>
  <c r="V1502" i="2" s="1"/>
  <c r="T1503" i="2"/>
  <c r="V1503" i="2" s="1"/>
  <c r="T1504" i="2"/>
  <c r="V1504" i="2" s="1"/>
  <c r="T1325" i="2" l="1"/>
  <c r="V1325" i="2" s="1"/>
  <c r="T1314" i="2" l="1"/>
  <c r="V1314" i="2" s="1"/>
  <c r="T1313" i="2"/>
  <c r="V1313" i="2" s="1"/>
  <c r="T1312" i="2" l="1"/>
  <c r="V1312" i="2" s="1"/>
  <c r="T1317" i="2" l="1"/>
  <c r="V1317" i="2" s="1"/>
  <c r="T1318" i="2"/>
  <c r="V1318" i="2" s="1"/>
  <c r="T1319" i="2"/>
  <c r="V1319" i="2" s="1"/>
  <c r="T1320" i="2"/>
  <c r="V1320" i="2" s="1"/>
  <c r="T1321" i="2"/>
  <c r="V1321" i="2" s="1"/>
  <c r="T1322" i="2"/>
  <c r="V1322" i="2" s="1"/>
  <c r="T1323" i="2"/>
  <c r="V1323" i="2" s="1"/>
  <c r="T1324" i="2"/>
  <c r="V1324" i="2" s="1"/>
  <c r="T1326" i="2"/>
  <c r="V1326" i="2" s="1"/>
  <c r="T1327" i="2"/>
  <c r="V1327" i="2" s="1"/>
  <c r="T1328" i="2"/>
  <c r="V1328" i="2" s="1"/>
  <c r="T1329" i="2"/>
  <c r="V1329" i="2" s="1"/>
  <c r="T1330" i="2"/>
  <c r="V1330" i="2" s="1"/>
  <c r="T1331" i="2"/>
  <c r="V1331" i="2" s="1"/>
  <c r="T1332" i="2"/>
  <c r="V1332" i="2" s="1"/>
  <c r="T1333" i="2"/>
  <c r="V1333" i="2" s="1"/>
  <c r="T1334" i="2"/>
  <c r="V1334" i="2" s="1"/>
  <c r="T1339" i="2"/>
  <c r="V1339" i="2" s="1"/>
  <c r="T1340" i="2"/>
  <c r="V1340" i="2" s="1"/>
  <c r="T1341" i="2"/>
  <c r="V1341" i="2" s="1"/>
  <c r="T1342" i="2"/>
  <c r="V1342" i="2" s="1"/>
  <c r="T1344" i="2"/>
  <c r="V1344" i="2" s="1"/>
  <c r="T1345" i="2"/>
  <c r="V1345" i="2" s="1"/>
  <c r="T1346" i="2"/>
  <c r="V1346" i="2" s="1"/>
  <c r="T1305" i="2"/>
  <c r="V1305" i="2" s="1"/>
  <c r="T1306" i="2" l="1"/>
  <c r="V1306" i="2" s="1"/>
  <c r="T1307" i="2"/>
  <c r="V1307" i="2" s="1"/>
  <c r="T1308" i="2"/>
  <c r="V1308" i="2" s="1"/>
  <c r="T1309" i="2"/>
  <c r="V1309" i="2" s="1"/>
  <c r="T1310" i="2"/>
  <c r="V1310" i="2" s="1"/>
  <c r="T1311" i="2"/>
  <c r="V1311" i="2" s="1"/>
  <c r="T1315" i="2"/>
  <c r="V1315" i="2" s="1"/>
  <c r="T1316" i="2"/>
  <c r="V1316" i="2" s="1"/>
  <c r="T1279" i="2"/>
  <c r="T1280" i="2"/>
  <c r="T1281" i="2"/>
  <c r="T1282" i="2"/>
  <c r="T1283" i="2"/>
  <c r="T1284" i="2"/>
  <c r="T1285" i="2"/>
  <c r="T1286" i="2"/>
  <c r="T1287" i="2"/>
  <c r="T1288" i="2"/>
  <c r="T1289" i="2"/>
  <c r="T1290" i="2"/>
  <c r="V1283" i="2" l="1"/>
  <c r="V1279" i="2" l="1"/>
  <c r="T1266" i="2" l="1"/>
  <c r="V1266" i="2" s="1"/>
  <c r="T1264" i="2" l="1"/>
  <c r="V1264" i="2" s="1"/>
  <c r="T1263" i="2"/>
  <c r="V1263" i="2" s="1"/>
  <c r="T1262" i="2" l="1"/>
  <c r="V1262" i="2" s="1"/>
  <c r="T1261" i="2"/>
  <c r="V1261" i="2" s="1"/>
  <c r="T1260" i="2" l="1"/>
  <c r="V1260" i="2" s="1"/>
  <c r="T1259" i="2"/>
  <c r="V1259" i="2" s="1"/>
  <c r="T1258" i="2"/>
  <c r="T1222" i="2" l="1"/>
  <c r="V1222" i="2" s="1"/>
  <c r="T1221" i="2"/>
  <c r="V1221" i="2" s="1"/>
  <c r="T1215" i="2" l="1"/>
  <c r="V1215" i="2" s="1"/>
  <c r="T1214" i="2"/>
  <c r="V1214" i="2" s="1"/>
  <c r="T1229" i="2" l="1"/>
  <c r="V1229" i="2" s="1"/>
  <c r="T1230" i="2"/>
  <c r="V1230" i="2" s="1"/>
  <c r="T1231" i="2"/>
  <c r="V1231" i="2" s="1"/>
  <c r="T1232" i="2"/>
  <c r="V1232" i="2" s="1"/>
  <c r="T1233" i="2"/>
  <c r="V1233" i="2" s="1"/>
  <c r="T1234" i="2"/>
  <c r="V1234" i="2" s="1"/>
  <c r="T1235" i="2"/>
  <c r="V1235" i="2" s="1"/>
  <c r="T1236" i="2"/>
  <c r="V1236" i="2" s="1"/>
  <c r="T1237" i="2"/>
  <c r="V1237" i="2" s="1"/>
  <c r="T1238" i="2"/>
  <c r="V1238" i="2" s="1"/>
  <c r="T1239" i="2"/>
  <c r="V1239" i="2" s="1"/>
  <c r="T1240" i="2"/>
  <c r="V1240" i="2" s="1"/>
  <c r="T1241" i="2"/>
  <c r="V1241" i="2" s="1"/>
  <c r="T1242" i="2"/>
  <c r="V1242" i="2" s="1"/>
  <c r="T1243" i="2"/>
  <c r="V1243" i="2" s="1"/>
  <c r="T1244" i="2"/>
  <c r="V1244" i="2" s="1"/>
  <c r="T1245" i="2"/>
  <c r="V1245" i="2" s="1"/>
  <c r="T1246" i="2"/>
  <c r="V1246" i="2" s="1"/>
  <c r="T1247" i="2"/>
  <c r="V1247" i="2" s="1"/>
  <c r="T1248" i="2"/>
  <c r="V1248" i="2" s="1"/>
  <c r="T1249" i="2"/>
  <c r="V1249" i="2" s="1"/>
  <c r="T1250" i="2"/>
  <c r="V1250" i="2" s="1"/>
  <c r="T1251" i="2"/>
  <c r="V1251" i="2" s="1"/>
  <c r="T1252" i="2"/>
  <c r="V1252" i="2" s="1"/>
  <c r="T1253" i="2"/>
  <c r="V1253" i="2" s="1"/>
  <c r="T1254" i="2"/>
  <c r="V1254" i="2" s="1"/>
  <c r="T1255" i="2"/>
  <c r="V1255" i="2" s="1"/>
  <c r="T1256" i="2"/>
  <c r="V1256" i="2" s="1"/>
  <c r="T1257" i="2"/>
  <c r="V1257" i="2" s="1"/>
  <c r="V1258" i="2"/>
  <c r="T1265" i="2"/>
  <c r="V1265" i="2" s="1"/>
  <c r="T1267" i="2"/>
  <c r="V1267" i="2" s="1"/>
  <c r="T1268" i="2"/>
  <c r="V1268" i="2" s="1"/>
  <c r="T1269" i="2"/>
  <c r="V1269" i="2" s="1"/>
  <c r="T1270" i="2"/>
  <c r="V1270" i="2" s="1"/>
  <c r="T1271" i="2"/>
  <c r="V1271" i="2" s="1"/>
  <c r="T1272" i="2"/>
  <c r="V1272" i="2" s="1"/>
  <c r="T1273" i="2"/>
  <c r="V1273" i="2" s="1"/>
  <c r="T1274" i="2"/>
  <c r="V1274" i="2" s="1"/>
  <c r="T1275" i="2"/>
  <c r="V1275" i="2" s="1"/>
  <c r="T1276" i="2"/>
  <c r="V1276" i="2" s="1"/>
  <c r="T1277" i="2"/>
  <c r="V1277" i="2" s="1"/>
  <c r="T1278" i="2"/>
  <c r="V1278" i="2" s="1"/>
  <c r="V1280" i="2"/>
  <c r="V1281" i="2"/>
  <c r="V1282" i="2"/>
  <c r="V1284" i="2"/>
  <c r="V1285" i="2"/>
  <c r="V1286" i="2"/>
  <c r="V1287" i="2"/>
  <c r="V1288" i="2"/>
  <c r="V1289" i="2"/>
  <c r="V1290" i="2"/>
  <c r="T1224" i="2"/>
  <c r="V1224" i="2" s="1"/>
  <c r="T1225" i="2"/>
  <c r="V1225" i="2" s="1"/>
  <c r="T1226" i="2"/>
  <c r="V1226" i="2" s="1"/>
  <c r="T1227" i="2"/>
  <c r="V1227" i="2" s="1"/>
  <c r="T1228" i="2"/>
  <c r="V1228" i="2" s="1"/>
  <c r="T1202" i="2" l="1"/>
  <c r="V1202" i="2" s="1"/>
  <c r="T1201" i="2" l="1"/>
  <c r="V1201" i="2" s="1"/>
  <c r="T1200" i="2" l="1"/>
  <c r="V1200" i="2" s="1"/>
  <c r="T1191" i="2" l="1"/>
  <c r="V1191" i="2" s="1"/>
  <c r="T1168" i="2" l="1"/>
  <c r="V1168" i="2" s="1"/>
  <c r="T1170" i="2"/>
  <c r="V1170" i="2" s="1"/>
  <c r="T1171" i="2"/>
  <c r="T1166" i="2" l="1"/>
  <c r="V1166" i="2" s="1"/>
  <c r="T1181" i="2" l="1"/>
  <c r="V1181" i="2" s="1"/>
  <c r="T1182" i="2"/>
  <c r="V1182" i="2" s="1"/>
  <c r="T1183" i="2"/>
  <c r="V1183" i="2" s="1"/>
  <c r="T1184" i="2"/>
  <c r="V1184" i="2" s="1"/>
  <c r="T1185" i="2"/>
  <c r="V1185" i="2" s="1"/>
  <c r="T1186" i="2"/>
  <c r="V1186" i="2" s="1"/>
  <c r="T1187" i="2"/>
  <c r="V1187" i="2" s="1"/>
  <c r="T1188" i="2"/>
  <c r="V1188" i="2" s="1"/>
  <c r="T1189" i="2"/>
  <c r="V1189" i="2" s="1"/>
  <c r="T1190" i="2"/>
  <c r="V1190" i="2" s="1"/>
  <c r="T1192" i="2"/>
  <c r="V1192" i="2" s="1"/>
  <c r="T1193" i="2"/>
  <c r="V1193" i="2" s="1"/>
  <c r="T1194" i="2"/>
  <c r="V1194" i="2" s="1"/>
  <c r="T1195" i="2"/>
  <c r="V1195" i="2" s="1"/>
  <c r="T1196" i="2"/>
  <c r="V1196" i="2" s="1"/>
  <c r="T1197" i="2"/>
  <c r="V1197" i="2" s="1"/>
  <c r="T1198" i="2"/>
  <c r="V1198" i="2" s="1"/>
  <c r="T1199" i="2"/>
  <c r="V1199" i="2" s="1"/>
  <c r="T1203" i="2"/>
  <c r="V1203" i="2" s="1"/>
  <c r="T1204" i="2"/>
  <c r="V1204" i="2" s="1"/>
  <c r="T1205" i="2"/>
  <c r="V1205" i="2" s="1"/>
  <c r="T1206" i="2"/>
  <c r="V1206" i="2" s="1"/>
  <c r="T1207" i="2"/>
  <c r="V1207" i="2" s="1"/>
  <c r="T1208" i="2"/>
  <c r="V1208" i="2" s="1"/>
  <c r="T1209" i="2"/>
  <c r="V1209" i="2" s="1"/>
  <c r="T1210" i="2"/>
  <c r="V1210" i="2" s="1"/>
  <c r="T1211" i="2"/>
  <c r="V1211" i="2" s="1"/>
  <c r="T1212" i="2"/>
  <c r="V1212" i="2" s="1"/>
  <c r="T1213" i="2"/>
  <c r="V1213" i="2" s="1"/>
  <c r="T1216" i="2"/>
  <c r="V1216" i="2" s="1"/>
  <c r="T1217" i="2"/>
  <c r="V1217" i="2" s="1"/>
  <c r="T1218" i="2"/>
  <c r="V1218" i="2" s="1"/>
  <c r="T1219" i="2"/>
  <c r="V1219" i="2" s="1"/>
  <c r="T1220" i="2"/>
  <c r="V1220" i="2" s="1"/>
  <c r="T1223" i="2"/>
  <c r="V1223" i="2" s="1"/>
  <c r="V1160" i="2"/>
  <c r="V1159" i="2"/>
  <c r="V1158" i="2"/>
  <c r="V1152" i="2" l="1"/>
  <c r="V1151" i="2"/>
  <c r="V1150" i="2"/>
  <c r="V1149" i="2"/>
  <c r="V1148" i="2"/>
  <c r="T1144" i="2" l="1"/>
  <c r="V1144" i="2" s="1"/>
  <c r="T1138" i="2" l="1"/>
  <c r="V1138" i="2" s="1"/>
  <c r="T1137" i="2" l="1"/>
  <c r="V1137" i="2" s="1"/>
  <c r="T1127" i="2" l="1"/>
  <c r="V1127" i="2" s="1"/>
  <c r="T1117" i="2" l="1"/>
  <c r="V1117" i="2" s="1"/>
  <c r="T1114" i="2" l="1"/>
  <c r="V1114" i="2" s="1"/>
  <c r="T1108" i="2" l="1"/>
  <c r="T1097" i="2" l="1"/>
  <c r="V1097" i="2" s="1"/>
  <c r="T1100" i="2" l="1"/>
  <c r="V1100" i="2" s="1"/>
  <c r="T1092" i="2" l="1"/>
  <c r="V1092" i="2" s="1"/>
  <c r="T1104" i="2" l="1"/>
  <c r="V1104" i="2" s="1"/>
  <c r="T1105" i="2"/>
  <c r="V1105" i="2" s="1"/>
  <c r="T1106" i="2"/>
  <c r="V1106" i="2" s="1"/>
  <c r="T1107" i="2"/>
  <c r="V1107" i="2" s="1"/>
  <c r="V1108" i="2"/>
  <c r="T1109" i="2"/>
  <c r="V1109" i="2" s="1"/>
  <c r="T1110" i="2"/>
  <c r="V1110" i="2" s="1"/>
  <c r="T1111" i="2"/>
  <c r="V1111" i="2" s="1"/>
  <c r="T1112" i="2"/>
  <c r="V1112" i="2" s="1"/>
  <c r="T1113" i="2"/>
  <c r="V1113" i="2" s="1"/>
  <c r="T1115" i="2"/>
  <c r="V1115" i="2" s="1"/>
  <c r="T1116" i="2"/>
  <c r="V1116" i="2" s="1"/>
  <c r="T1118" i="2"/>
  <c r="V1118" i="2" s="1"/>
  <c r="T1119" i="2"/>
  <c r="V1119" i="2" s="1"/>
  <c r="T1120" i="2"/>
  <c r="V1120" i="2" s="1"/>
  <c r="T1121" i="2"/>
  <c r="V1121" i="2" s="1"/>
  <c r="T1122" i="2"/>
  <c r="V1122" i="2" s="1"/>
  <c r="T1123" i="2"/>
  <c r="V1123" i="2" s="1"/>
  <c r="T1124" i="2"/>
  <c r="V1124" i="2" s="1"/>
  <c r="T1125" i="2"/>
  <c r="V1125" i="2" s="1"/>
  <c r="T1126" i="2"/>
  <c r="V1126" i="2" s="1"/>
  <c r="T1128" i="2"/>
  <c r="V1128" i="2" s="1"/>
  <c r="T1129" i="2"/>
  <c r="V1129" i="2" s="1"/>
  <c r="T1130" i="2"/>
  <c r="V1130" i="2" s="1"/>
  <c r="T1131" i="2"/>
  <c r="V1131" i="2" s="1"/>
  <c r="T1132" i="2"/>
  <c r="V1132" i="2" s="1"/>
  <c r="T1133" i="2"/>
  <c r="V1133" i="2" s="1"/>
  <c r="T1134" i="2"/>
  <c r="V1134" i="2" s="1"/>
  <c r="T1135" i="2"/>
  <c r="V1135" i="2" s="1"/>
  <c r="T1136" i="2"/>
  <c r="V1136" i="2" s="1"/>
  <c r="T1139" i="2"/>
  <c r="V1139" i="2" s="1"/>
  <c r="T1140" i="2"/>
  <c r="V1140" i="2" s="1"/>
  <c r="T1141" i="2"/>
  <c r="V1141" i="2" s="1"/>
  <c r="T1142" i="2"/>
  <c r="V1142" i="2" s="1"/>
  <c r="T1143" i="2"/>
  <c r="V1143" i="2" s="1"/>
  <c r="T1145" i="2"/>
  <c r="V1145" i="2" s="1"/>
  <c r="T1146" i="2"/>
  <c r="V1146" i="2" s="1"/>
  <c r="V1147" i="2"/>
  <c r="T1153" i="2"/>
  <c r="V1153" i="2" s="1"/>
  <c r="T1154" i="2"/>
  <c r="V1154" i="2" s="1"/>
  <c r="T1155" i="2"/>
  <c r="V1155" i="2" s="1"/>
  <c r="T1156" i="2"/>
  <c r="V1156" i="2" s="1"/>
  <c r="T1157" i="2"/>
  <c r="V1157" i="2" s="1"/>
  <c r="T1161" i="2"/>
  <c r="V1161" i="2" s="1"/>
  <c r="T1162" i="2"/>
  <c r="V1162" i="2" s="1"/>
  <c r="T1163" i="2"/>
  <c r="V1163" i="2" s="1"/>
  <c r="T1164" i="2"/>
  <c r="V1164" i="2" s="1"/>
  <c r="T1165" i="2"/>
  <c r="V1165" i="2" s="1"/>
  <c r="T1167" i="2"/>
  <c r="V1167" i="2" s="1"/>
  <c r="T1169" i="2"/>
  <c r="V1169" i="2" s="1"/>
  <c r="V1171" i="2"/>
  <c r="T1172" i="2"/>
  <c r="V1172" i="2" s="1"/>
  <c r="T1173" i="2"/>
  <c r="V1173" i="2" s="1"/>
  <c r="T1174" i="2"/>
  <c r="V1174" i="2" s="1"/>
  <c r="T1175" i="2"/>
  <c r="V1175" i="2" s="1"/>
  <c r="T1176" i="2"/>
  <c r="V1176" i="2" s="1"/>
  <c r="T1177" i="2"/>
  <c r="V1177" i="2" s="1"/>
  <c r="T1178" i="2"/>
  <c r="V1178" i="2" s="1"/>
  <c r="T1179" i="2"/>
  <c r="V1179" i="2" s="1"/>
  <c r="T1180" i="2"/>
  <c r="V1180" i="2" s="1"/>
  <c r="T1088" i="2" l="1"/>
  <c r="V1088" i="2" s="1"/>
  <c r="T1083" i="2" l="1"/>
  <c r="V1083" i="2" s="1"/>
  <c r="T1055" i="2" l="1"/>
  <c r="V1055" i="2" s="1"/>
  <c r="T1052" i="2" l="1"/>
  <c r="V1052" i="2" s="1"/>
  <c r="T1049" i="2" l="1"/>
  <c r="V1049" i="2" s="1"/>
  <c r="T1045" i="2" l="1"/>
  <c r="V1045" i="2" s="1"/>
  <c r="T1042" i="2" l="1"/>
  <c r="V1042" i="2" s="1"/>
  <c r="T1040" i="2" l="1"/>
  <c r="T1034" i="2" l="1"/>
  <c r="V1034" i="2" s="1"/>
  <c r="T1033" i="2" l="1"/>
  <c r="V1033" i="2" s="1"/>
  <c r="T1031" i="2" l="1"/>
  <c r="V1031" i="2" s="1"/>
  <c r="T1030" i="2" l="1"/>
  <c r="V1030" i="2" s="1"/>
  <c r="T1022" i="2" l="1"/>
  <c r="V1022" i="2" s="1"/>
  <c r="T1013" i="2" l="1"/>
  <c r="T1014" i="2"/>
  <c r="T1015" i="2"/>
  <c r="V1014" i="2" l="1"/>
  <c r="V1015" i="2"/>
  <c r="T1016" i="2"/>
  <c r="V1016" i="2" s="1"/>
  <c r="T1017" i="2"/>
  <c r="V1017" i="2" s="1"/>
  <c r="T1018" i="2"/>
  <c r="V1018" i="2" s="1"/>
  <c r="T1019" i="2"/>
  <c r="V1019" i="2" s="1"/>
  <c r="T1020" i="2"/>
  <c r="V1020" i="2" s="1"/>
  <c r="T1021" i="2"/>
  <c r="V1021" i="2" s="1"/>
  <c r="T1023" i="2"/>
  <c r="V1023" i="2" s="1"/>
  <c r="T1024" i="2"/>
  <c r="V1024" i="2" s="1"/>
  <c r="T1025" i="2"/>
  <c r="V1025" i="2" s="1"/>
  <c r="T1026" i="2"/>
  <c r="V1026" i="2" s="1"/>
  <c r="T1027" i="2"/>
  <c r="V1027" i="2" s="1"/>
  <c r="T1028" i="2"/>
  <c r="V1028" i="2" s="1"/>
  <c r="T1029" i="2"/>
  <c r="V1029" i="2" s="1"/>
  <c r="T1032" i="2"/>
  <c r="V1032" i="2" s="1"/>
  <c r="T1035" i="2"/>
  <c r="V1035" i="2" s="1"/>
  <c r="T1036" i="2"/>
  <c r="V1036" i="2" s="1"/>
  <c r="T1037" i="2"/>
  <c r="V1037" i="2" s="1"/>
  <c r="T1038" i="2"/>
  <c r="V1038" i="2" s="1"/>
  <c r="T1039" i="2"/>
  <c r="V1039" i="2" s="1"/>
  <c r="T1041" i="2"/>
  <c r="V1041" i="2" s="1"/>
  <c r="T1043" i="2"/>
  <c r="V1043" i="2" s="1"/>
  <c r="T1044" i="2"/>
  <c r="V1044" i="2" s="1"/>
  <c r="T1046" i="2"/>
  <c r="V1046" i="2" s="1"/>
  <c r="T1047" i="2"/>
  <c r="V1047" i="2" s="1"/>
  <c r="T1048" i="2"/>
  <c r="V1048" i="2" s="1"/>
  <c r="T1050" i="2"/>
  <c r="V1050" i="2" s="1"/>
  <c r="T1051" i="2"/>
  <c r="V1051" i="2" s="1"/>
  <c r="T1053" i="2"/>
  <c r="V1053" i="2" s="1"/>
  <c r="T1054" i="2"/>
  <c r="V1054" i="2" s="1"/>
  <c r="T1056" i="2"/>
  <c r="V1056" i="2" s="1"/>
  <c r="T1057" i="2"/>
  <c r="V1057" i="2" s="1"/>
  <c r="T1058" i="2"/>
  <c r="V1058" i="2" s="1"/>
  <c r="T1059" i="2"/>
  <c r="V1059" i="2" s="1"/>
  <c r="T1060" i="2"/>
  <c r="V1060" i="2" s="1"/>
  <c r="T1061" i="2"/>
  <c r="V1061" i="2" s="1"/>
  <c r="T1062" i="2"/>
  <c r="V1062" i="2" s="1"/>
  <c r="T1063" i="2"/>
  <c r="V1063" i="2" s="1"/>
  <c r="T1064" i="2"/>
  <c r="V1064" i="2" s="1"/>
  <c r="T1065" i="2"/>
  <c r="V1065" i="2" s="1"/>
  <c r="T1066" i="2"/>
  <c r="V1066" i="2" s="1"/>
  <c r="T1067" i="2"/>
  <c r="V1067" i="2" s="1"/>
  <c r="T1068" i="2"/>
  <c r="V1068" i="2" s="1"/>
  <c r="T1069" i="2"/>
  <c r="V1069" i="2" s="1"/>
  <c r="T1070" i="2"/>
  <c r="V1070" i="2" s="1"/>
  <c r="T1071" i="2"/>
  <c r="V1071" i="2" s="1"/>
  <c r="T1072" i="2"/>
  <c r="V1072" i="2" s="1"/>
  <c r="T1073" i="2"/>
  <c r="V1073" i="2" s="1"/>
  <c r="T1074" i="2"/>
  <c r="V1074" i="2" s="1"/>
  <c r="T1075" i="2"/>
  <c r="V1075" i="2" s="1"/>
  <c r="T1076" i="2"/>
  <c r="V1076" i="2" s="1"/>
  <c r="T1077" i="2"/>
  <c r="V1077" i="2" s="1"/>
  <c r="T1078" i="2"/>
  <c r="V1078" i="2" s="1"/>
  <c r="T1079" i="2"/>
  <c r="V1079" i="2" s="1"/>
  <c r="T1080" i="2"/>
  <c r="V1080" i="2" s="1"/>
  <c r="T1081" i="2"/>
  <c r="V1081" i="2" s="1"/>
  <c r="T1082" i="2"/>
  <c r="V1082" i="2" s="1"/>
  <c r="T1084" i="2"/>
  <c r="V1084" i="2" s="1"/>
  <c r="T1085" i="2"/>
  <c r="V1085" i="2" s="1"/>
  <c r="T1086" i="2"/>
  <c r="V1086" i="2" s="1"/>
  <c r="T1087" i="2"/>
  <c r="V1087" i="2" s="1"/>
  <c r="T1089" i="2"/>
  <c r="V1089" i="2" s="1"/>
  <c r="T1090" i="2"/>
  <c r="V1090" i="2" s="1"/>
  <c r="T1091" i="2"/>
  <c r="V1091" i="2" s="1"/>
  <c r="T1093" i="2"/>
  <c r="V1093" i="2" s="1"/>
  <c r="T1094" i="2"/>
  <c r="V1094" i="2" s="1"/>
  <c r="T1095" i="2"/>
  <c r="V1095" i="2" s="1"/>
  <c r="T1096" i="2"/>
  <c r="V1096" i="2" s="1"/>
  <c r="T1098" i="2"/>
  <c r="V1098" i="2" s="1"/>
  <c r="T1099" i="2"/>
  <c r="V1099" i="2" s="1"/>
  <c r="T1101" i="2"/>
  <c r="V1101" i="2" s="1"/>
  <c r="T1102" i="2"/>
  <c r="V1102" i="2" s="1"/>
  <c r="T1103" i="2"/>
  <c r="V1103" i="2" s="1"/>
  <c r="T997" i="2" l="1"/>
  <c r="V997" i="2" s="1"/>
  <c r="T993" i="2" l="1"/>
  <c r="V993" i="2" s="1"/>
  <c r="T994" i="2"/>
  <c r="V994" i="2" s="1"/>
  <c r="T992" i="2"/>
  <c r="T985" i="2" l="1"/>
  <c r="V985" i="2" s="1"/>
  <c r="T977" i="2" l="1"/>
  <c r="V977" i="2" s="1"/>
  <c r="T963" i="2" l="1"/>
  <c r="V963" i="2" s="1"/>
  <c r="T962" i="2"/>
  <c r="V962" i="2" s="1"/>
  <c r="T957" i="2" l="1"/>
  <c r="V957" i="2" s="1"/>
  <c r="T949" i="2" l="1"/>
  <c r="V949" i="2" s="1"/>
  <c r="T947" i="2" l="1"/>
  <c r="V947" i="2" s="1"/>
  <c r="T943" i="2" l="1"/>
  <c r="V943" i="2" s="1"/>
  <c r="T933" i="2" l="1"/>
  <c r="T932" i="2" l="1"/>
  <c r="V932" i="2" s="1"/>
  <c r="T930" i="2" l="1"/>
  <c r="V930" i="2" s="1"/>
  <c r="T929" i="2"/>
  <c r="V929" i="2" s="1"/>
  <c r="T927" i="2" l="1"/>
  <c r="V927" i="2" s="1"/>
  <c r="T926" i="2" l="1"/>
  <c r="V926" i="2" s="1"/>
  <c r="T925" i="2"/>
  <c r="V925" i="2" s="1"/>
  <c r="T924" i="2" l="1"/>
  <c r="V924" i="2" s="1"/>
  <c r="T921" i="2" l="1"/>
  <c r="V921" i="2" s="1"/>
  <c r="T920" i="2" l="1"/>
  <c r="V920" i="2" s="1"/>
  <c r="T939" i="2" l="1"/>
  <c r="V939" i="2" s="1"/>
  <c r="T940" i="2"/>
  <c r="V940" i="2" s="1"/>
  <c r="T941" i="2"/>
  <c r="V941" i="2" s="1"/>
  <c r="T942" i="2"/>
  <c r="V942" i="2" s="1"/>
  <c r="T944" i="2"/>
  <c r="V944" i="2" s="1"/>
  <c r="T945" i="2"/>
  <c r="V945" i="2" s="1"/>
  <c r="T946" i="2"/>
  <c r="V946" i="2" s="1"/>
  <c r="T948" i="2"/>
  <c r="V948" i="2" s="1"/>
  <c r="T950" i="2"/>
  <c r="V950" i="2" s="1"/>
  <c r="T951" i="2"/>
  <c r="V951" i="2" s="1"/>
  <c r="T952" i="2"/>
  <c r="V952" i="2" s="1"/>
  <c r="T953" i="2"/>
  <c r="V953" i="2" s="1"/>
  <c r="T954" i="2"/>
  <c r="V954" i="2" s="1"/>
  <c r="T955" i="2"/>
  <c r="V955" i="2" s="1"/>
  <c r="T956" i="2"/>
  <c r="V956" i="2" s="1"/>
  <c r="T958" i="2"/>
  <c r="V958" i="2" s="1"/>
  <c r="T959" i="2"/>
  <c r="V959" i="2" s="1"/>
  <c r="T960" i="2"/>
  <c r="V960" i="2" s="1"/>
  <c r="T961" i="2"/>
  <c r="V961" i="2" s="1"/>
  <c r="T964" i="2"/>
  <c r="V964" i="2" s="1"/>
  <c r="T965" i="2"/>
  <c r="V965" i="2" s="1"/>
  <c r="T966" i="2"/>
  <c r="V966" i="2" s="1"/>
  <c r="T967" i="2"/>
  <c r="V967" i="2" s="1"/>
  <c r="T968" i="2"/>
  <c r="V968" i="2" s="1"/>
  <c r="T969" i="2"/>
  <c r="V969" i="2" s="1"/>
  <c r="T970" i="2"/>
  <c r="V970" i="2" s="1"/>
  <c r="T971" i="2"/>
  <c r="V971" i="2" s="1"/>
  <c r="T972" i="2"/>
  <c r="V972" i="2" s="1"/>
  <c r="T973" i="2"/>
  <c r="V973" i="2" s="1"/>
  <c r="T974" i="2"/>
  <c r="V974" i="2" s="1"/>
  <c r="T975" i="2"/>
  <c r="V975" i="2" s="1"/>
  <c r="T976" i="2"/>
  <c r="V976" i="2" s="1"/>
  <c r="T978" i="2"/>
  <c r="V978" i="2" s="1"/>
  <c r="T979" i="2"/>
  <c r="V979" i="2" s="1"/>
  <c r="T980" i="2"/>
  <c r="V980" i="2" s="1"/>
  <c r="T981" i="2"/>
  <c r="V981" i="2" s="1"/>
  <c r="T982" i="2"/>
  <c r="V982" i="2" s="1"/>
  <c r="T983" i="2"/>
  <c r="V983" i="2" s="1"/>
  <c r="T984" i="2"/>
  <c r="V984" i="2" s="1"/>
  <c r="T986" i="2"/>
  <c r="V986" i="2" s="1"/>
  <c r="T987" i="2"/>
  <c r="V987" i="2" s="1"/>
  <c r="T988" i="2"/>
  <c r="V988" i="2" s="1"/>
  <c r="T989" i="2"/>
  <c r="V989" i="2" s="1"/>
  <c r="T990" i="2"/>
  <c r="V990" i="2" s="1"/>
  <c r="T991" i="2"/>
  <c r="V991" i="2" s="1"/>
  <c r="V992" i="2"/>
  <c r="T995" i="2"/>
  <c r="V995" i="2" s="1"/>
  <c r="T996" i="2"/>
  <c r="V996" i="2" s="1"/>
  <c r="T998" i="2"/>
  <c r="V998" i="2" s="1"/>
  <c r="T999" i="2"/>
  <c r="V999" i="2" s="1"/>
  <c r="T1000" i="2"/>
  <c r="V1000" i="2" s="1"/>
  <c r="T1001" i="2"/>
  <c r="V1001" i="2" s="1"/>
  <c r="T1002" i="2"/>
  <c r="V1002" i="2" s="1"/>
  <c r="T1003" i="2"/>
  <c r="V1003" i="2" s="1"/>
  <c r="T1004" i="2"/>
  <c r="V1004" i="2" s="1"/>
  <c r="T1005" i="2"/>
  <c r="V1005" i="2" s="1"/>
  <c r="T1006" i="2"/>
  <c r="V1006" i="2" s="1"/>
  <c r="T1007" i="2"/>
  <c r="V1007" i="2" s="1"/>
  <c r="T1008" i="2"/>
  <c r="V1008" i="2" s="1"/>
  <c r="T1009" i="2"/>
  <c r="V1009" i="2" s="1"/>
  <c r="T1011" i="2"/>
  <c r="V1011" i="2" s="1"/>
  <c r="T1012" i="2"/>
  <c r="V1012" i="2" s="1"/>
  <c r="V1013" i="2"/>
  <c r="T917" i="2" l="1"/>
  <c r="V917" i="2" s="1"/>
  <c r="T914" i="2" l="1"/>
  <c r="V914" i="2" s="1"/>
  <c r="T909" i="2" l="1"/>
  <c r="T899" i="2" l="1"/>
  <c r="V899" i="2" s="1"/>
  <c r="T897" i="2" l="1"/>
  <c r="V897" i="2" s="1"/>
  <c r="T895" i="2" l="1"/>
  <c r="V895" i="2" s="1"/>
  <c r="T890" i="2" l="1"/>
  <c r="V890" i="2" s="1"/>
  <c r="T889" i="2"/>
  <c r="V889" i="2" s="1"/>
  <c r="T886" i="2" l="1"/>
  <c r="V886" i="2" s="1"/>
  <c r="T884" i="2" l="1"/>
  <c r="V884" i="2" s="1"/>
  <c r="T882" i="2" l="1"/>
  <c r="V882" i="2" s="1"/>
  <c r="T900" i="2" l="1"/>
  <c r="V900" i="2" s="1"/>
  <c r="T901" i="2"/>
  <c r="V901" i="2" s="1"/>
  <c r="T902" i="2"/>
  <c r="V902" i="2" s="1"/>
  <c r="T903" i="2"/>
  <c r="V903" i="2" s="1"/>
  <c r="T904" i="2"/>
  <c r="V904" i="2" s="1"/>
  <c r="T905" i="2"/>
  <c r="V905" i="2" s="1"/>
  <c r="T907" i="2"/>
  <c r="V907" i="2" s="1"/>
  <c r="T908" i="2"/>
  <c r="V908" i="2" s="1"/>
  <c r="V909" i="2"/>
  <c r="T910" i="2"/>
  <c r="V910" i="2" s="1"/>
  <c r="T911" i="2"/>
  <c r="V911" i="2" s="1"/>
  <c r="T912" i="2"/>
  <c r="V912" i="2" s="1"/>
  <c r="T913" i="2"/>
  <c r="V913" i="2" s="1"/>
  <c r="T915" i="2"/>
  <c r="V915" i="2" s="1"/>
  <c r="T916" i="2"/>
  <c r="V916" i="2" s="1"/>
  <c r="T918" i="2"/>
  <c r="V918" i="2" s="1"/>
  <c r="T919" i="2"/>
  <c r="V919" i="2" s="1"/>
  <c r="T922" i="2"/>
  <c r="V922" i="2" s="1"/>
  <c r="T923" i="2"/>
  <c r="V923" i="2" s="1"/>
  <c r="T928" i="2"/>
  <c r="V928" i="2" s="1"/>
  <c r="T931" i="2"/>
  <c r="V931" i="2" s="1"/>
  <c r="T934" i="2"/>
  <c r="V934" i="2" s="1"/>
  <c r="T935" i="2"/>
  <c r="V935" i="2" s="1"/>
  <c r="T936" i="2"/>
  <c r="V936" i="2" s="1"/>
  <c r="T937" i="2"/>
  <c r="V937" i="2" s="1"/>
  <c r="T938" i="2"/>
  <c r="V938" i="2" s="1"/>
  <c r="T896" i="2"/>
  <c r="V896" i="2" s="1"/>
  <c r="T898" i="2"/>
  <c r="V898" i="2" s="1"/>
  <c r="T879" i="2" l="1"/>
  <c r="V879" i="2" s="1"/>
  <c r="T876" i="2" l="1"/>
  <c r="T875" i="2" l="1"/>
  <c r="V875" i="2" s="1"/>
  <c r="T874" i="2" l="1"/>
  <c r="V874" i="2" s="1"/>
  <c r="T866" i="2" l="1"/>
  <c r="V866" i="2" s="1"/>
  <c r="T864" i="2" l="1"/>
  <c r="V864" i="2" s="1"/>
  <c r="T862" i="2" l="1"/>
  <c r="V862" i="2" s="1"/>
  <c r="AC861" i="2" l="1"/>
  <c r="T861" i="2"/>
  <c r="V861" i="2" s="1"/>
  <c r="AC857" i="2" l="1"/>
  <c r="T857" i="2"/>
  <c r="V857" i="2" s="1"/>
  <c r="T843" i="2" l="1"/>
  <c r="V843" i="2" s="1"/>
  <c r="T842" i="2" l="1"/>
  <c r="V842" i="2" s="1"/>
  <c r="T838" i="2" l="1"/>
  <c r="V838" i="2" s="1"/>
  <c r="T836" i="2" l="1"/>
  <c r="V836" i="2" s="1"/>
  <c r="AC832" i="2" l="1"/>
  <c r="T832" i="2"/>
  <c r="V832" i="2" s="1"/>
  <c r="T831" i="2" l="1"/>
  <c r="V831" i="2" s="1"/>
  <c r="AC470" i="2" l="1"/>
  <c r="AC471" i="2"/>
  <c r="AC472" i="2"/>
  <c r="AC473" i="2"/>
  <c r="AC474" i="2"/>
  <c r="AC475" i="2"/>
  <c r="AC476" i="2"/>
  <c r="AC477" i="2"/>
  <c r="AC478" i="2"/>
  <c r="AC479" i="2"/>
  <c r="AC480" i="2"/>
  <c r="AC481" i="2"/>
  <c r="AC482" i="2"/>
  <c r="AC483" i="2"/>
  <c r="AC484" i="2"/>
  <c r="AC485" i="2"/>
  <c r="AC486" i="2"/>
  <c r="AC487" i="2"/>
  <c r="AC488" i="2"/>
  <c r="AC489" i="2"/>
  <c r="AC490" i="2"/>
  <c r="AC491" i="2"/>
  <c r="AC492" i="2"/>
  <c r="AC493" i="2"/>
  <c r="AC494" i="2"/>
  <c r="AC495" i="2"/>
  <c r="AC496" i="2"/>
  <c r="AC497" i="2"/>
  <c r="AC498" i="2"/>
  <c r="AC499" i="2"/>
  <c r="AC500" i="2"/>
  <c r="AC501" i="2"/>
  <c r="AC502" i="2"/>
  <c r="AC503" i="2"/>
  <c r="AC504" i="2"/>
  <c r="AC505" i="2"/>
  <c r="AC506" i="2"/>
  <c r="AC507" i="2"/>
  <c r="AC508" i="2"/>
  <c r="AC509" i="2"/>
  <c r="AC510" i="2"/>
  <c r="AC511" i="2"/>
  <c r="AC512" i="2"/>
  <c r="AC513" i="2"/>
  <c r="AC514" i="2"/>
  <c r="AC515" i="2"/>
  <c r="AC516" i="2"/>
  <c r="AC517" i="2"/>
  <c r="AC518" i="2"/>
  <c r="AC519" i="2"/>
  <c r="AC520" i="2"/>
  <c r="AC521" i="2"/>
  <c r="AC522" i="2"/>
  <c r="AC523" i="2"/>
  <c r="AC524" i="2"/>
  <c r="AC525" i="2"/>
  <c r="AC526" i="2"/>
  <c r="AC527" i="2"/>
  <c r="AC528" i="2"/>
  <c r="AC529" i="2"/>
  <c r="AC530" i="2"/>
  <c r="AC531" i="2"/>
  <c r="AC532" i="2"/>
  <c r="AC533" i="2"/>
  <c r="AC534" i="2"/>
  <c r="AC535" i="2"/>
  <c r="AC536" i="2"/>
  <c r="AC537" i="2"/>
  <c r="AC538" i="2"/>
  <c r="AC539" i="2"/>
  <c r="AC540" i="2"/>
  <c r="AC541" i="2"/>
  <c r="AC542" i="2"/>
  <c r="AC543" i="2"/>
  <c r="AC544" i="2"/>
  <c r="AC545" i="2"/>
  <c r="AC546" i="2"/>
  <c r="AC547" i="2"/>
  <c r="AC548" i="2"/>
  <c r="AC549" i="2"/>
  <c r="AC550" i="2"/>
  <c r="AC551" i="2"/>
  <c r="AC552" i="2"/>
  <c r="AC553" i="2"/>
  <c r="AC554" i="2"/>
  <c r="AC555" i="2"/>
  <c r="AC556" i="2"/>
  <c r="AC557" i="2"/>
  <c r="AC558" i="2"/>
  <c r="AC559" i="2"/>
  <c r="AC560" i="2"/>
  <c r="AC561" i="2"/>
  <c r="AC562" i="2"/>
  <c r="AC563" i="2"/>
  <c r="AC564" i="2"/>
  <c r="AC565" i="2"/>
  <c r="AC566" i="2"/>
  <c r="AC567" i="2"/>
  <c r="AC568" i="2"/>
  <c r="AC569" i="2"/>
  <c r="AC570" i="2"/>
  <c r="AC571" i="2"/>
  <c r="AC572" i="2"/>
  <c r="AC573" i="2"/>
  <c r="AC574" i="2"/>
  <c r="AC575" i="2"/>
  <c r="AC576" i="2"/>
  <c r="AC577" i="2"/>
  <c r="AC578" i="2"/>
  <c r="AC579" i="2"/>
  <c r="AC580" i="2"/>
  <c r="AC581" i="2"/>
  <c r="AC582" i="2"/>
  <c r="AC583" i="2"/>
  <c r="AC584" i="2"/>
  <c r="AC585" i="2"/>
  <c r="AC586" i="2"/>
  <c r="AC587" i="2"/>
  <c r="AC588" i="2"/>
  <c r="AC589" i="2"/>
  <c r="AC590" i="2"/>
  <c r="AC591" i="2"/>
  <c r="AC592" i="2"/>
  <c r="AC593" i="2"/>
  <c r="AC594" i="2"/>
  <c r="AC595" i="2"/>
  <c r="AC596" i="2"/>
  <c r="AC597" i="2"/>
  <c r="AC598" i="2"/>
  <c r="AC599" i="2"/>
  <c r="AC600" i="2"/>
  <c r="AC601" i="2"/>
  <c r="AC602" i="2"/>
  <c r="AC603" i="2"/>
  <c r="AC604" i="2"/>
  <c r="AC605" i="2"/>
  <c r="AC606" i="2"/>
  <c r="AC607" i="2"/>
  <c r="AC608" i="2"/>
  <c r="AC609" i="2"/>
  <c r="AC610" i="2"/>
  <c r="AC611" i="2"/>
  <c r="AC612" i="2"/>
  <c r="AC613" i="2"/>
  <c r="AC614" i="2"/>
  <c r="AC615" i="2"/>
  <c r="AC616" i="2"/>
  <c r="AC617" i="2"/>
  <c r="AC618" i="2"/>
  <c r="AC619" i="2"/>
  <c r="AC620" i="2"/>
  <c r="AC621" i="2"/>
  <c r="AC622" i="2"/>
  <c r="AC623" i="2"/>
  <c r="AC624" i="2"/>
  <c r="AC625" i="2"/>
  <c r="AC626" i="2"/>
  <c r="AC627" i="2"/>
  <c r="AC628" i="2"/>
  <c r="AC629" i="2"/>
  <c r="AC630" i="2"/>
  <c r="AC631" i="2"/>
  <c r="AC632" i="2"/>
  <c r="AC633" i="2"/>
  <c r="AC634" i="2"/>
  <c r="AC635" i="2"/>
  <c r="AC636" i="2"/>
  <c r="AC637" i="2"/>
  <c r="AC638" i="2"/>
  <c r="AC639" i="2"/>
  <c r="AC640" i="2"/>
  <c r="AC641" i="2"/>
  <c r="AC642" i="2"/>
  <c r="AC643" i="2"/>
  <c r="AC644" i="2"/>
  <c r="AC645" i="2"/>
  <c r="AC646" i="2"/>
  <c r="AC647" i="2"/>
  <c r="AC648" i="2"/>
  <c r="AC649" i="2"/>
  <c r="AC650" i="2"/>
  <c r="AC651" i="2"/>
  <c r="AC652" i="2"/>
  <c r="AC653" i="2"/>
  <c r="AC654" i="2"/>
  <c r="AC655" i="2"/>
  <c r="AC656" i="2"/>
  <c r="AC657" i="2"/>
  <c r="AC658" i="2"/>
  <c r="AC659" i="2"/>
  <c r="AC660" i="2"/>
  <c r="AC661" i="2"/>
  <c r="AC662" i="2"/>
  <c r="AC663" i="2"/>
  <c r="AC664" i="2"/>
  <c r="AC665" i="2"/>
  <c r="AC666" i="2"/>
  <c r="AC667" i="2"/>
  <c r="AC668" i="2"/>
  <c r="AC669" i="2"/>
  <c r="AC670" i="2"/>
  <c r="AC671" i="2"/>
  <c r="AC672" i="2"/>
  <c r="AC673" i="2"/>
  <c r="AC674" i="2"/>
  <c r="AC675" i="2"/>
  <c r="AC676" i="2"/>
  <c r="AC677" i="2"/>
  <c r="AC678" i="2"/>
  <c r="AC679" i="2"/>
  <c r="AC680" i="2"/>
  <c r="AC681" i="2"/>
  <c r="AC682" i="2"/>
  <c r="AC683" i="2"/>
  <c r="AC684" i="2"/>
  <c r="AC685" i="2"/>
  <c r="AC686" i="2"/>
  <c r="AC687" i="2"/>
  <c r="AC688" i="2"/>
  <c r="AC689" i="2"/>
  <c r="AC690" i="2"/>
  <c r="AC691" i="2"/>
  <c r="AC692" i="2"/>
  <c r="AC693" i="2"/>
  <c r="AC694" i="2"/>
  <c r="AC695" i="2"/>
  <c r="AC696" i="2"/>
  <c r="AC697" i="2"/>
  <c r="AC698" i="2"/>
  <c r="AC699" i="2"/>
  <c r="AC700" i="2"/>
  <c r="AC701" i="2"/>
  <c r="AC702" i="2"/>
  <c r="AC703" i="2"/>
  <c r="AC704" i="2"/>
  <c r="AC705" i="2"/>
  <c r="AC706" i="2"/>
  <c r="AC707" i="2"/>
  <c r="AC708" i="2"/>
  <c r="AC709" i="2"/>
  <c r="AC710" i="2"/>
  <c r="AC711" i="2"/>
  <c r="AC712" i="2"/>
  <c r="AC713" i="2"/>
  <c r="AC714" i="2"/>
  <c r="AC715" i="2"/>
  <c r="AC716" i="2"/>
  <c r="AC717" i="2"/>
  <c r="AC718" i="2"/>
  <c r="AC719" i="2"/>
  <c r="AC720" i="2"/>
  <c r="AC721" i="2"/>
  <c r="AC722" i="2"/>
  <c r="AC723" i="2"/>
  <c r="AC724" i="2"/>
  <c r="AC725" i="2"/>
  <c r="AC726" i="2"/>
  <c r="AC727" i="2"/>
  <c r="AC728" i="2"/>
  <c r="AC729" i="2"/>
  <c r="AC730" i="2"/>
  <c r="AC731" i="2"/>
  <c r="AC732" i="2"/>
  <c r="AC733" i="2"/>
  <c r="AC734" i="2"/>
  <c r="AC735" i="2"/>
  <c r="AC736" i="2"/>
  <c r="AC737" i="2"/>
  <c r="AC738" i="2"/>
  <c r="AC739" i="2"/>
  <c r="AC740" i="2"/>
  <c r="AC741" i="2"/>
  <c r="AC742" i="2"/>
  <c r="AC743" i="2"/>
  <c r="AC744" i="2"/>
  <c r="AC745" i="2"/>
  <c r="AC746" i="2"/>
  <c r="AC747" i="2"/>
  <c r="AC748" i="2"/>
  <c r="AC749" i="2"/>
  <c r="AC750" i="2"/>
  <c r="AC751" i="2"/>
  <c r="AC752" i="2"/>
  <c r="AC753" i="2"/>
  <c r="AC754" i="2"/>
  <c r="AC755" i="2"/>
  <c r="AC756" i="2"/>
  <c r="AC757" i="2"/>
  <c r="AC758" i="2"/>
  <c r="AC759" i="2"/>
  <c r="AC760" i="2"/>
  <c r="AC761" i="2"/>
  <c r="AC762" i="2"/>
  <c r="AC763" i="2"/>
  <c r="AC764" i="2"/>
  <c r="AC765" i="2"/>
  <c r="AC766" i="2"/>
  <c r="AC767" i="2"/>
  <c r="AC768" i="2"/>
  <c r="AC769" i="2"/>
  <c r="AC770" i="2"/>
  <c r="AC771" i="2"/>
  <c r="AC772" i="2"/>
  <c r="AC773" i="2"/>
  <c r="AC774" i="2"/>
  <c r="AC775" i="2"/>
  <c r="AC776" i="2"/>
  <c r="AC777" i="2"/>
  <c r="AC778" i="2"/>
  <c r="AC779" i="2"/>
  <c r="AC780" i="2"/>
  <c r="AC781" i="2"/>
  <c r="AC782" i="2"/>
  <c r="AC783" i="2"/>
  <c r="AC784" i="2"/>
  <c r="AC785" i="2"/>
  <c r="AC786" i="2"/>
  <c r="AC787" i="2"/>
  <c r="AC788" i="2"/>
  <c r="AC789" i="2"/>
  <c r="AC790" i="2"/>
  <c r="AC791" i="2"/>
  <c r="AC792" i="2"/>
  <c r="AC793" i="2"/>
  <c r="AC794" i="2"/>
  <c r="AC795" i="2"/>
  <c r="AC796" i="2"/>
  <c r="AC797" i="2"/>
  <c r="AC798" i="2"/>
  <c r="AC799" i="2"/>
  <c r="AC800" i="2"/>
  <c r="AC801" i="2"/>
  <c r="AC802" i="2"/>
  <c r="AC803" i="2"/>
  <c r="AC804" i="2"/>
  <c r="AC805" i="2"/>
  <c r="AC806" i="2"/>
  <c r="AC807" i="2"/>
  <c r="AC808" i="2"/>
  <c r="AC809" i="2"/>
  <c r="AC810" i="2"/>
  <c r="AC811" i="2"/>
  <c r="AC812" i="2"/>
  <c r="AC813" i="2"/>
  <c r="AC814" i="2"/>
  <c r="AC815" i="2"/>
  <c r="AC816" i="2"/>
  <c r="AC817" i="2"/>
  <c r="AC818" i="2"/>
  <c r="AC819" i="2"/>
  <c r="AC820" i="2"/>
  <c r="AC821" i="2"/>
  <c r="AC822" i="2"/>
  <c r="AC823" i="2"/>
  <c r="AC824" i="2"/>
  <c r="AC825" i="2"/>
  <c r="AC826" i="2"/>
  <c r="AC827" i="2"/>
  <c r="AC828" i="2"/>
  <c r="AC829" i="2"/>
  <c r="AC830" i="2"/>
  <c r="AC831" i="2"/>
  <c r="AC833" i="2"/>
  <c r="AC834" i="2"/>
  <c r="AC835" i="2"/>
  <c r="AC837" i="2"/>
  <c r="AC838" i="2"/>
  <c r="AC839" i="2"/>
  <c r="AC840" i="2"/>
  <c r="AC841" i="2"/>
  <c r="AC842" i="2"/>
  <c r="AC843" i="2"/>
  <c r="AC844" i="2"/>
  <c r="AC845" i="2"/>
  <c r="AC846" i="2"/>
  <c r="AC847" i="2"/>
  <c r="AC848" i="2"/>
  <c r="AC849" i="2"/>
  <c r="AC850" i="2"/>
  <c r="AC851" i="2"/>
  <c r="AC852" i="2"/>
  <c r="AC853" i="2"/>
  <c r="AC854" i="2"/>
  <c r="AC855" i="2"/>
  <c r="AC856" i="2"/>
  <c r="AC858" i="2"/>
  <c r="AC859" i="2"/>
  <c r="AC860" i="2"/>
  <c r="AC862" i="2"/>
  <c r="AC863" i="2"/>
  <c r="AC864" i="2"/>
  <c r="AC865" i="2"/>
  <c r="AC866" i="2"/>
  <c r="AC867" i="2"/>
  <c r="AC868" i="2"/>
  <c r="AC869" i="2"/>
  <c r="AC870" i="2"/>
  <c r="AC871" i="2"/>
  <c r="AC872" i="2"/>
  <c r="AC873" i="2"/>
  <c r="AC874" i="2"/>
  <c r="AC875" i="2"/>
  <c r="AC876" i="2"/>
  <c r="AC877" i="2"/>
  <c r="AC878" i="2"/>
  <c r="AC879" i="2"/>
  <c r="AC880" i="2"/>
  <c r="AC881" i="2"/>
  <c r="AC882" i="2"/>
  <c r="AC883" i="2"/>
  <c r="AC884" i="2"/>
  <c r="AC885" i="2"/>
  <c r="AC886" i="2"/>
  <c r="AC887" i="2"/>
  <c r="AC888" i="2"/>
  <c r="AC889" i="2"/>
  <c r="AC890" i="2"/>
  <c r="AC891" i="2"/>
  <c r="AC892" i="2"/>
  <c r="AC893" i="2"/>
  <c r="AC894" i="2"/>
  <c r="T819" i="2" l="1"/>
  <c r="V819" i="2" s="1"/>
  <c r="AD819" i="2" s="1"/>
  <c r="T818" i="2" l="1"/>
  <c r="V818" i="2" s="1"/>
  <c r="T817" i="2"/>
  <c r="V817" i="2" s="1"/>
  <c r="T815" i="2" l="1"/>
  <c r="V815" i="2" s="1"/>
  <c r="AD815" i="2" s="1"/>
  <c r="T810" i="2" l="1"/>
  <c r="V810" i="2" s="1"/>
  <c r="T807" i="2" l="1"/>
  <c r="V807" i="2" s="1"/>
  <c r="T790" i="2" l="1"/>
  <c r="V790" i="2" s="1"/>
  <c r="T787" i="2" l="1"/>
  <c r="V787" i="2" s="1"/>
  <c r="T768" i="2" l="1"/>
  <c r="V768" i="2" s="1"/>
  <c r="T782" i="2" l="1"/>
  <c r="V782" i="2" s="1"/>
  <c r="T781" i="2"/>
  <c r="V781" i="2" s="1"/>
  <c r="T772" i="2" l="1"/>
  <c r="V772" i="2" s="1"/>
  <c r="T773" i="2"/>
  <c r="V773" i="2" s="1"/>
  <c r="T771" i="2"/>
  <c r="V771" i="2" s="1"/>
  <c r="T763" i="2" l="1"/>
  <c r="V763" i="2" s="1"/>
  <c r="T759" i="2" l="1"/>
  <c r="V759" i="2" s="1"/>
  <c r="T756" i="2" l="1"/>
  <c r="V756" i="2" s="1"/>
  <c r="T748" i="2" l="1"/>
  <c r="V748" i="2" s="1"/>
  <c r="T743" i="2" l="1"/>
  <c r="V743" i="2" s="1"/>
  <c r="T744" i="2"/>
  <c r="V744" i="2" s="1"/>
  <c r="T745" i="2"/>
  <c r="V745" i="2" s="1"/>
  <c r="T746" i="2"/>
  <c r="V746" i="2" s="1"/>
  <c r="T747" i="2"/>
  <c r="V747" i="2" s="1"/>
  <c r="T749" i="2"/>
  <c r="V749" i="2" s="1"/>
  <c r="T750" i="2"/>
  <c r="T738" i="2" l="1"/>
  <c r="V738" i="2" s="1"/>
  <c r="T752" i="2" l="1"/>
  <c r="V752" i="2" s="1"/>
  <c r="T753" i="2"/>
  <c r="V753" i="2" s="1"/>
  <c r="T754" i="2"/>
  <c r="V754" i="2" s="1"/>
  <c r="T755" i="2"/>
  <c r="V755" i="2" s="1"/>
  <c r="T757" i="2"/>
  <c r="V757" i="2" s="1"/>
  <c r="T758" i="2"/>
  <c r="V758" i="2" s="1"/>
  <c r="T760" i="2"/>
  <c r="V760" i="2" s="1"/>
  <c r="T761" i="2"/>
  <c r="V761" i="2" s="1"/>
  <c r="T762" i="2"/>
  <c r="V762" i="2" s="1"/>
  <c r="T764" i="2"/>
  <c r="V764" i="2" s="1"/>
  <c r="T765" i="2"/>
  <c r="V765" i="2" s="1"/>
  <c r="T766" i="2"/>
  <c r="V766" i="2" s="1"/>
  <c r="T767" i="2"/>
  <c r="V767" i="2" s="1"/>
  <c r="T769" i="2"/>
  <c r="V769" i="2" s="1"/>
  <c r="T770" i="2"/>
  <c r="V770" i="2" s="1"/>
  <c r="T774" i="2"/>
  <c r="V774" i="2" s="1"/>
  <c r="T775" i="2"/>
  <c r="V775" i="2" s="1"/>
  <c r="T776" i="2"/>
  <c r="V776" i="2" s="1"/>
  <c r="T777" i="2"/>
  <c r="V777" i="2" s="1"/>
  <c r="T778" i="2"/>
  <c r="V778" i="2" s="1"/>
  <c r="T779" i="2"/>
  <c r="V779" i="2" s="1"/>
  <c r="T780" i="2"/>
  <c r="V780" i="2" s="1"/>
  <c r="T783" i="2"/>
  <c r="V783" i="2" s="1"/>
  <c r="T784" i="2"/>
  <c r="V784" i="2" s="1"/>
  <c r="T785" i="2"/>
  <c r="V785" i="2" s="1"/>
  <c r="T786" i="2"/>
  <c r="V786" i="2" s="1"/>
  <c r="T788" i="2"/>
  <c r="V788" i="2" s="1"/>
  <c r="T789" i="2"/>
  <c r="V789" i="2" s="1"/>
  <c r="T791" i="2"/>
  <c r="V791" i="2" s="1"/>
  <c r="T792" i="2"/>
  <c r="V792" i="2" s="1"/>
  <c r="T793" i="2"/>
  <c r="V793" i="2" s="1"/>
  <c r="T794" i="2"/>
  <c r="V794" i="2" s="1"/>
  <c r="AD794" i="2" s="1"/>
  <c r="T795" i="2"/>
  <c r="V795" i="2" s="1"/>
  <c r="T796" i="2"/>
  <c r="V796" i="2" s="1"/>
  <c r="T797" i="2"/>
  <c r="V797" i="2" s="1"/>
  <c r="T798" i="2"/>
  <c r="V798" i="2" s="1"/>
  <c r="T799" i="2"/>
  <c r="V799" i="2" s="1"/>
  <c r="T800" i="2"/>
  <c r="V800" i="2" s="1"/>
  <c r="T801" i="2"/>
  <c r="V801" i="2" s="1"/>
  <c r="T802" i="2"/>
  <c r="V802" i="2" s="1"/>
  <c r="T803" i="2"/>
  <c r="V803" i="2" s="1"/>
  <c r="T804" i="2"/>
  <c r="V804" i="2" s="1"/>
  <c r="T805" i="2"/>
  <c r="V805" i="2" s="1"/>
  <c r="T806" i="2"/>
  <c r="V806" i="2" s="1"/>
  <c r="T808" i="2"/>
  <c r="V808" i="2" s="1"/>
  <c r="T809" i="2"/>
  <c r="V809" i="2" s="1"/>
  <c r="T811" i="2"/>
  <c r="V811" i="2" s="1"/>
  <c r="T812" i="2"/>
  <c r="V812" i="2" s="1"/>
  <c r="T813" i="2"/>
  <c r="V813" i="2" s="1"/>
  <c r="T814" i="2"/>
  <c r="V814" i="2" s="1"/>
  <c r="AD814" i="2" s="1"/>
  <c r="T816" i="2"/>
  <c r="V816" i="2" s="1"/>
  <c r="T820" i="2"/>
  <c r="V820" i="2" s="1"/>
  <c r="AD820" i="2" s="1"/>
  <c r="T821" i="2"/>
  <c r="V821" i="2" s="1"/>
  <c r="AD821" i="2" s="1"/>
  <c r="T822" i="2"/>
  <c r="V822" i="2" s="1"/>
  <c r="T823" i="2"/>
  <c r="V823" i="2" s="1"/>
  <c r="T824" i="2"/>
  <c r="V824" i="2" s="1"/>
  <c r="T825" i="2"/>
  <c r="V825" i="2" s="1"/>
  <c r="T826" i="2"/>
  <c r="V826" i="2" s="1"/>
  <c r="T827" i="2"/>
  <c r="V827" i="2" s="1"/>
  <c r="T828" i="2"/>
  <c r="V828" i="2" s="1"/>
  <c r="T829" i="2"/>
  <c r="T830" i="2"/>
  <c r="V830" i="2" s="1"/>
  <c r="T833" i="2"/>
  <c r="V833" i="2" s="1"/>
  <c r="T834" i="2"/>
  <c r="V834" i="2" s="1"/>
  <c r="T835" i="2"/>
  <c r="V835" i="2" s="1"/>
  <c r="T837" i="2"/>
  <c r="V837" i="2" s="1"/>
  <c r="T839" i="2"/>
  <c r="V839" i="2" s="1"/>
  <c r="T840" i="2"/>
  <c r="V840" i="2" s="1"/>
  <c r="T841" i="2"/>
  <c r="V841" i="2" s="1"/>
  <c r="T844" i="2"/>
  <c r="V844" i="2" s="1"/>
  <c r="T845" i="2"/>
  <c r="V845" i="2" s="1"/>
  <c r="T846" i="2"/>
  <c r="V846" i="2" s="1"/>
  <c r="T847" i="2"/>
  <c r="V847" i="2" s="1"/>
  <c r="T848" i="2"/>
  <c r="V848" i="2" s="1"/>
  <c r="T849" i="2"/>
  <c r="V849" i="2" s="1"/>
  <c r="T850" i="2"/>
  <c r="V850" i="2" s="1"/>
  <c r="T851" i="2"/>
  <c r="V851" i="2" s="1"/>
  <c r="T852" i="2"/>
  <c r="V852" i="2" s="1"/>
  <c r="T853" i="2"/>
  <c r="V853" i="2" s="1"/>
  <c r="T854" i="2"/>
  <c r="V854" i="2" s="1"/>
  <c r="T855" i="2"/>
  <c r="V855" i="2" s="1"/>
  <c r="T856" i="2"/>
  <c r="V856" i="2" s="1"/>
  <c r="T858" i="2"/>
  <c r="V858" i="2" s="1"/>
  <c r="T859" i="2"/>
  <c r="V859" i="2" s="1"/>
  <c r="T860" i="2"/>
  <c r="V860" i="2" s="1"/>
  <c r="T863" i="2"/>
  <c r="V863" i="2" s="1"/>
  <c r="T865" i="2"/>
  <c r="V865" i="2" s="1"/>
  <c r="T867" i="2"/>
  <c r="V867" i="2" s="1"/>
  <c r="T868" i="2"/>
  <c r="V868" i="2" s="1"/>
  <c r="T869" i="2"/>
  <c r="V869" i="2" s="1"/>
  <c r="T870" i="2"/>
  <c r="V870" i="2" s="1"/>
  <c r="T871" i="2"/>
  <c r="V871" i="2" s="1"/>
  <c r="T872" i="2"/>
  <c r="V872" i="2" s="1"/>
  <c r="T873" i="2"/>
  <c r="V873" i="2" s="1"/>
  <c r="V876" i="2"/>
  <c r="T877" i="2"/>
  <c r="V877" i="2" s="1"/>
  <c r="T878" i="2"/>
  <c r="V878" i="2" s="1"/>
  <c r="T880" i="2"/>
  <c r="V880" i="2" s="1"/>
  <c r="T881" i="2"/>
  <c r="V881" i="2" s="1"/>
  <c r="T883" i="2"/>
  <c r="V883" i="2" s="1"/>
  <c r="T885" i="2"/>
  <c r="V885" i="2" s="1"/>
  <c r="T887" i="2"/>
  <c r="V887" i="2" s="1"/>
  <c r="T888" i="2"/>
  <c r="V888" i="2" s="1"/>
  <c r="T891" i="2"/>
  <c r="V891" i="2" s="1"/>
  <c r="T892" i="2"/>
  <c r="V892" i="2" s="1"/>
  <c r="T893" i="2"/>
  <c r="V893" i="2" s="1"/>
  <c r="T894" i="2"/>
  <c r="V894" i="2" s="1"/>
  <c r="T731" i="2" l="1"/>
  <c r="V731" i="2" s="1"/>
  <c r="T730" i="2" l="1"/>
  <c r="V730" i="2" s="1"/>
  <c r="T727" i="2" l="1"/>
  <c r="V727" i="2" s="1"/>
  <c r="T723" i="2" l="1"/>
  <c r="V723" i="2" s="1"/>
  <c r="T722" i="2"/>
  <c r="V722" i="2" s="1"/>
  <c r="T718" i="2" l="1"/>
  <c r="V718" i="2" s="1"/>
  <c r="T3" i="2" l="1"/>
  <c r="V3" i="2" s="1"/>
  <c r="T4" i="2"/>
  <c r="V4" i="2" s="1"/>
  <c r="T5" i="2"/>
  <c r="V5" i="2" s="1"/>
  <c r="T6" i="2"/>
  <c r="V6" i="2" s="1"/>
  <c r="T7" i="2"/>
  <c r="V7" i="2" s="1"/>
  <c r="T8" i="2"/>
  <c r="V8" i="2" s="1"/>
  <c r="T9" i="2"/>
  <c r="V9" i="2" s="1"/>
  <c r="T10" i="2"/>
  <c r="V10" i="2" s="1"/>
  <c r="T11" i="2"/>
  <c r="V11" i="2" s="1"/>
  <c r="T12" i="2"/>
  <c r="V12" i="2" s="1"/>
  <c r="T13" i="2"/>
  <c r="V13" i="2" s="1"/>
  <c r="T14" i="2"/>
  <c r="V14" i="2" s="1"/>
  <c r="T15" i="2"/>
  <c r="V15" i="2" s="1"/>
  <c r="T16" i="2"/>
  <c r="V16" i="2" s="1"/>
  <c r="T17" i="2"/>
  <c r="V17" i="2" s="1"/>
  <c r="T18" i="2"/>
  <c r="V18" i="2" s="1"/>
  <c r="T19" i="2"/>
  <c r="V19" i="2" s="1"/>
  <c r="T20" i="2"/>
  <c r="V20" i="2" s="1"/>
  <c r="T21" i="2"/>
  <c r="V21" i="2" s="1"/>
  <c r="T22" i="2"/>
  <c r="V22" i="2" s="1"/>
  <c r="T23" i="2"/>
  <c r="V23" i="2" s="1"/>
  <c r="T24" i="2"/>
  <c r="V24" i="2" s="1"/>
  <c r="T25" i="2"/>
  <c r="V25" i="2" s="1"/>
  <c r="T26" i="2"/>
  <c r="V26" i="2" s="1"/>
  <c r="T27" i="2"/>
  <c r="V27" i="2" s="1"/>
  <c r="T28" i="2"/>
  <c r="V28" i="2" s="1"/>
  <c r="T29" i="2"/>
  <c r="V29" i="2" s="1"/>
  <c r="T30" i="2"/>
  <c r="V30" i="2" s="1"/>
  <c r="T31" i="2"/>
  <c r="V31" i="2" s="1"/>
  <c r="T32" i="2"/>
  <c r="V32" i="2" s="1"/>
  <c r="T33" i="2"/>
  <c r="V33" i="2" s="1"/>
  <c r="T34" i="2"/>
  <c r="V34" i="2" s="1"/>
  <c r="T35" i="2"/>
  <c r="V35" i="2" s="1"/>
  <c r="T36" i="2"/>
  <c r="V36" i="2" s="1"/>
  <c r="T37" i="2"/>
  <c r="V37" i="2" s="1"/>
  <c r="T38" i="2"/>
  <c r="V38" i="2" s="1"/>
  <c r="T39" i="2"/>
  <c r="V39" i="2" s="1"/>
  <c r="T40" i="2"/>
  <c r="V40" i="2" s="1"/>
  <c r="T41" i="2"/>
  <c r="V41" i="2" s="1"/>
  <c r="T42" i="2"/>
  <c r="V42" i="2" s="1"/>
  <c r="T43" i="2"/>
  <c r="V43" i="2" s="1"/>
  <c r="T44" i="2"/>
  <c r="V44" i="2" s="1"/>
  <c r="T45" i="2"/>
  <c r="V45" i="2" s="1"/>
  <c r="T46" i="2"/>
  <c r="V46" i="2" s="1"/>
  <c r="T47" i="2"/>
  <c r="V47" i="2" s="1"/>
  <c r="T48" i="2"/>
  <c r="V48" i="2" s="1"/>
  <c r="T49" i="2"/>
  <c r="V49" i="2" s="1"/>
  <c r="T50" i="2"/>
  <c r="V50" i="2" s="1"/>
  <c r="T51" i="2"/>
  <c r="V51" i="2" s="1"/>
  <c r="T52" i="2"/>
  <c r="V52" i="2" s="1"/>
  <c r="T53" i="2"/>
  <c r="V53" i="2" s="1"/>
  <c r="T54" i="2"/>
  <c r="V54" i="2" s="1"/>
  <c r="T55" i="2"/>
  <c r="V55" i="2" s="1"/>
  <c r="T56" i="2"/>
  <c r="V56" i="2" s="1"/>
  <c r="T57" i="2"/>
  <c r="V57" i="2" s="1"/>
  <c r="T58" i="2"/>
  <c r="V58" i="2" s="1"/>
  <c r="T59" i="2"/>
  <c r="V59" i="2" s="1"/>
  <c r="T60" i="2"/>
  <c r="V60" i="2" s="1"/>
  <c r="T61" i="2"/>
  <c r="V61" i="2" s="1"/>
  <c r="T62" i="2"/>
  <c r="V62" i="2" s="1"/>
  <c r="T63" i="2"/>
  <c r="V63" i="2" s="1"/>
  <c r="T64" i="2"/>
  <c r="V64" i="2" s="1"/>
  <c r="T65" i="2"/>
  <c r="V65" i="2" s="1"/>
  <c r="T66" i="2"/>
  <c r="V66" i="2" s="1"/>
  <c r="T67" i="2"/>
  <c r="V67" i="2" s="1"/>
  <c r="T68" i="2"/>
  <c r="V68" i="2" s="1"/>
  <c r="T69" i="2"/>
  <c r="V69" i="2" s="1"/>
  <c r="T70" i="2"/>
  <c r="V70" i="2" s="1"/>
  <c r="T71" i="2"/>
  <c r="V71" i="2" s="1"/>
  <c r="T72" i="2"/>
  <c r="V72" i="2" s="1"/>
  <c r="T73" i="2"/>
  <c r="V73" i="2" s="1"/>
  <c r="T74" i="2"/>
  <c r="V74" i="2" s="1"/>
  <c r="T75" i="2"/>
  <c r="V75" i="2" s="1"/>
  <c r="T76" i="2"/>
  <c r="V76" i="2" s="1"/>
  <c r="T77" i="2"/>
  <c r="V77" i="2" s="1"/>
  <c r="T78" i="2"/>
  <c r="V78" i="2" s="1"/>
  <c r="T79" i="2"/>
  <c r="V79" i="2" s="1"/>
  <c r="T80" i="2"/>
  <c r="V80" i="2" s="1"/>
  <c r="T81" i="2"/>
  <c r="V81" i="2" s="1"/>
  <c r="T82" i="2"/>
  <c r="V82" i="2" s="1"/>
  <c r="T83" i="2"/>
  <c r="V83" i="2" s="1"/>
  <c r="T84" i="2"/>
  <c r="V84" i="2" s="1"/>
  <c r="T85" i="2"/>
  <c r="V85" i="2" s="1"/>
  <c r="T86" i="2"/>
  <c r="V86" i="2" s="1"/>
  <c r="T87" i="2"/>
  <c r="V87" i="2" s="1"/>
  <c r="T88" i="2"/>
  <c r="V88" i="2" s="1"/>
  <c r="T89" i="2"/>
  <c r="V89" i="2" s="1"/>
  <c r="T90" i="2"/>
  <c r="V90" i="2" s="1"/>
  <c r="T91" i="2"/>
  <c r="V91" i="2" s="1"/>
  <c r="T92" i="2"/>
  <c r="V92" i="2" s="1"/>
  <c r="T93" i="2"/>
  <c r="V93" i="2" s="1"/>
  <c r="T94" i="2"/>
  <c r="V94" i="2" s="1"/>
  <c r="T95" i="2"/>
  <c r="V95" i="2" s="1"/>
  <c r="T96" i="2"/>
  <c r="V96" i="2" s="1"/>
  <c r="T97" i="2"/>
  <c r="V97" i="2" s="1"/>
  <c r="T98" i="2"/>
  <c r="V98" i="2" s="1"/>
  <c r="T99" i="2"/>
  <c r="V99" i="2" s="1"/>
  <c r="T100" i="2"/>
  <c r="V100" i="2" s="1"/>
  <c r="T101" i="2"/>
  <c r="V101" i="2" s="1"/>
  <c r="T102" i="2"/>
  <c r="V102" i="2" s="1"/>
  <c r="T103" i="2"/>
  <c r="V103" i="2" s="1"/>
  <c r="T104" i="2"/>
  <c r="V104" i="2" s="1"/>
  <c r="T105" i="2"/>
  <c r="V105" i="2" s="1"/>
  <c r="T106" i="2"/>
  <c r="V106" i="2" s="1"/>
  <c r="T107" i="2"/>
  <c r="V107" i="2" s="1"/>
  <c r="T108" i="2"/>
  <c r="V108" i="2" s="1"/>
  <c r="T109" i="2"/>
  <c r="V109" i="2" s="1"/>
  <c r="T110" i="2"/>
  <c r="V110" i="2" s="1"/>
  <c r="T111" i="2"/>
  <c r="V111" i="2" s="1"/>
  <c r="T112" i="2"/>
  <c r="V112" i="2" s="1"/>
  <c r="T113" i="2"/>
  <c r="V113" i="2" s="1"/>
  <c r="T114" i="2"/>
  <c r="V114" i="2" s="1"/>
  <c r="T115" i="2"/>
  <c r="V115" i="2" s="1"/>
  <c r="T116" i="2"/>
  <c r="V116" i="2" s="1"/>
  <c r="T117" i="2"/>
  <c r="V117" i="2" s="1"/>
  <c r="T118" i="2"/>
  <c r="V118" i="2" s="1"/>
  <c r="T119" i="2"/>
  <c r="V119" i="2" s="1"/>
  <c r="T120" i="2"/>
  <c r="V120" i="2" s="1"/>
  <c r="T121" i="2"/>
  <c r="V121" i="2" s="1"/>
  <c r="T122" i="2"/>
  <c r="V122" i="2" s="1"/>
  <c r="T123" i="2"/>
  <c r="V123" i="2" s="1"/>
  <c r="T124" i="2"/>
  <c r="V124" i="2" s="1"/>
  <c r="T125" i="2"/>
  <c r="V125" i="2" s="1"/>
  <c r="T126" i="2"/>
  <c r="V126" i="2" s="1"/>
  <c r="T127" i="2"/>
  <c r="V127" i="2" s="1"/>
  <c r="T128" i="2"/>
  <c r="V128" i="2" s="1"/>
  <c r="T129" i="2"/>
  <c r="V129" i="2" s="1"/>
  <c r="T130" i="2"/>
  <c r="V130" i="2" s="1"/>
  <c r="T131" i="2"/>
  <c r="V131" i="2" s="1"/>
  <c r="T132" i="2"/>
  <c r="V132" i="2" s="1"/>
  <c r="T133" i="2"/>
  <c r="V133" i="2" s="1"/>
  <c r="T134" i="2"/>
  <c r="V134" i="2" s="1"/>
  <c r="T135" i="2"/>
  <c r="V135" i="2" s="1"/>
  <c r="T136" i="2"/>
  <c r="V136" i="2" s="1"/>
  <c r="T137" i="2"/>
  <c r="V137" i="2" s="1"/>
  <c r="T138" i="2"/>
  <c r="V138" i="2" s="1"/>
  <c r="T139" i="2"/>
  <c r="V139" i="2" s="1"/>
  <c r="T140" i="2"/>
  <c r="V140" i="2" s="1"/>
  <c r="T141" i="2"/>
  <c r="V141" i="2" s="1"/>
  <c r="T142" i="2"/>
  <c r="V142" i="2" s="1"/>
  <c r="T143" i="2"/>
  <c r="V143" i="2" s="1"/>
  <c r="T144" i="2"/>
  <c r="V144" i="2" s="1"/>
  <c r="T145" i="2"/>
  <c r="V145" i="2" s="1"/>
  <c r="T146" i="2"/>
  <c r="V146" i="2" s="1"/>
  <c r="T147" i="2"/>
  <c r="V147" i="2" s="1"/>
  <c r="T148" i="2"/>
  <c r="V148" i="2" s="1"/>
  <c r="T149" i="2"/>
  <c r="V149" i="2" s="1"/>
  <c r="T150" i="2"/>
  <c r="V150" i="2" s="1"/>
  <c r="T151" i="2"/>
  <c r="V151" i="2" s="1"/>
  <c r="T152" i="2"/>
  <c r="V152" i="2" s="1"/>
  <c r="T153" i="2"/>
  <c r="V153" i="2" s="1"/>
  <c r="T154" i="2"/>
  <c r="V154" i="2" s="1"/>
  <c r="T155" i="2"/>
  <c r="V155" i="2" s="1"/>
  <c r="T156" i="2"/>
  <c r="V156" i="2" s="1"/>
  <c r="T157" i="2"/>
  <c r="V157" i="2" s="1"/>
  <c r="T158" i="2"/>
  <c r="V158" i="2" s="1"/>
  <c r="T159" i="2"/>
  <c r="V159" i="2" s="1"/>
  <c r="T160" i="2"/>
  <c r="V160" i="2" s="1"/>
  <c r="T161" i="2"/>
  <c r="V161" i="2" s="1"/>
  <c r="T162" i="2"/>
  <c r="V162" i="2" s="1"/>
  <c r="T163" i="2"/>
  <c r="V163" i="2" s="1"/>
  <c r="T164" i="2"/>
  <c r="V164" i="2" s="1"/>
  <c r="T165" i="2"/>
  <c r="V165" i="2" s="1"/>
  <c r="T166" i="2"/>
  <c r="V166" i="2" s="1"/>
  <c r="T167" i="2"/>
  <c r="V167" i="2" s="1"/>
  <c r="T168" i="2"/>
  <c r="V168" i="2" s="1"/>
  <c r="T169" i="2"/>
  <c r="V169" i="2" s="1"/>
  <c r="T170" i="2"/>
  <c r="V170" i="2" s="1"/>
  <c r="T171" i="2"/>
  <c r="V171" i="2" s="1"/>
  <c r="T172" i="2"/>
  <c r="V172" i="2" s="1"/>
  <c r="T173" i="2"/>
  <c r="V173" i="2" s="1"/>
  <c r="T174" i="2"/>
  <c r="V174" i="2" s="1"/>
  <c r="T175" i="2"/>
  <c r="V175" i="2" s="1"/>
  <c r="T176" i="2"/>
  <c r="V176" i="2" s="1"/>
  <c r="T177" i="2"/>
  <c r="V177" i="2" s="1"/>
  <c r="T178" i="2"/>
  <c r="V178" i="2" s="1"/>
  <c r="T179" i="2"/>
  <c r="V179" i="2" s="1"/>
  <c r="T180" i="2"/>
  <c r="V180" i="2" s="1"/>
  <c r="T181" i="2"/>
  <c r="V181" i="2" s="1"/>
  <c r="T182" i="2"/>
  <c r="V182" i="2" s="1"/>
  <c r="T183" i="2"/>
  <c r="V183" i="2" s="1"/>
  <c r="T184" i="2"/>
  <c r="V184" i="2" s="1"/>
  <c r="T185" i="2"/>
  <c r="V185" i="2" s="1"/>
  <c r="T186" i="2"/>
  <c r="V186" i="2" s="1"/>
  <c r="T187" i="2"/>
  <c r="V187" i="2" s="1"/>
  <c r="T188" i="2"/>
  <c r="V188" i="2" s="1"/>
  <c r="T189" i="2"/>
  <c r="V189" i="2" s="1"/>
  <c r="T190" i="2"/>
  <c r="V190" i="2" s="1"/>
  <c r="T191" i="2"/>
  <c r="V191" i="2" s="1"/>
  <c r="T192" i="2"/>
  <c r="V192" i="2" s="1"/>
  <c r="T193" i="2"/>
  <c r="V193" i="2" s="1"/>
  <c r="T194" i="2"/>
  <c r="V194" i="2" s="1"/>
  <c r="T195" i="2"/>
  <c r="V195" i="2" s="1"/>
  <c r="T196" i="2"/>
  <c r="V196" i="2" s="1"/>
  <c r="T197" i="2"/>
  <c r="V197" i="2" s="1"/>
  <c r="T198" i="2"/>
  <c r="V198" i="2" s="1"/>
  <c r="T199" i="2"/>
  <c r="V199" i="2" s="1"/>
  <c r="T200" i="2"/>
  <c r="V200" i="2" s="1"/>
  <c r="T201" i="2"/>
  <c r="V201" i="2" s="1"/>
  <c r="T202" i="2"/>
  <c r="V202" i="2" s="1"/>
  <c r="T203" i="2"/>
  <c r="V203" i="2" s="1"/>
  <c r="T204" i="2"/>
  <c r="V204" i="2" s="1"/>
  <c r="T205" i="2"/>
  <c r="V205" i="2" s="1"/>
  <c r="T206" i="2"/>
  <c r="V206" i="2" s="1"/>
  <c r="T207" i="2"/>
  <c r="V207" i="2" s="1"/>
  <c r="T208" i="2"/>
  <c r="V208" i="2" s="1"/>
  <c r="T209" i="2"/>
  <c r="V209" i="2" s="1"/>
  <c r="T210" i="2"/>
  <c r="V210" i="2" s="1"/>
  <c r="T211" i="2"/>
  <c r="V211" i="2" s="1"/>
  <c r="T212" i="2"/>
  <c r="V212" i="2" s="1"/>
  <c r="T213" i="2"/>
  <c r="V213" i="2" s="1"/>
  <c r="T214" i="2"/>
  <c r="V214" i="2" s="1"/>
  <c r="T215" i="2"/>
  <c r="V215" i="2" s="1"/>
  <c r="T216" i="2"/>
  <c r="V216" i="2" s="1"/>
  <c r="T217" i="2"/>
  <c r="V217" i="2" s="1"/>
  <c r="T218" i="2"/>
  <c r="V218" i="2" s="1"/>
  <c r="T219" i="2"/>
  <c r="V219" i="2" s="1"/>
  <c r="T220" i="2"/>
  <c r="V220" i="2" s="1"/>
  <c r="T221" i="2"/>
  <c r="V221" i="2" s="1"/>
  <c r="T222" i="2"/>
  <c r="V222" i="2" s="1"/>
  <c r="T223" i="2"/>
  <c r="V223" i="2" s="1"/>
  <c r="T224" i="2"/>
  <c r="V224" i="2" s="1"/>
  <c r="T225" i="2"/>
  <c r="V225" i="2" s="1"/>
  <c r="T226" i="2"/>
  <c r="V226" i="2" s="1"/>
  <c r="T227" i="2"/>
  <c r="V227" i="2" s="1"/>
  <c r="T228" i="2"/>
  <c r="V228" i="2" s="1"/>
  <c r="T229" i="2"/>
  <c r="V229" i="2" s="1"/>
  <c r="T230" i="2"/>
  <c r="V230" i="2" s="1"/>
  <c r="T231" i="2"/>
  <c r="V231" i="2" s="1"/>
  <c r="T232" i="2"/>
  <c r="V232" i="2" s="1"/>
  <c r="T233" i="2"/>
  <c r="V233" i="2" s="1"/>
  <c r="T234" i="2"/>
  <c r="V234" i="2" s="1"/>
  <c r="T235" i="2"/>
  <c r="V235" i="2" s="1"/>
  <c r="T236" i="2"/>
  <c r="V236" i="2" s="1"/>
  <c r="T237" i="2"/>
  <c r="V237" i="2" s="1"/>
  <c r="T238" i="2"/>
  <c r="V238" i="2" s="1"/>
  <c r="T239" i="2"/>
  <c r="V239" i="2" s="1"/>
  <c r="T240" i="2"/>
  <c r="V240" i="2" s="1"/>
  <c r="T241" i="2"/>
  <c r="V241" i="2" s="1"/>
  <c r="T242" i="2"/>
  <c r="V242" i="2" s="1"/>
  <c r="T243" i="2"/>
  <c r="V243" i="2" s="1"/>
  <c r="T244" i="2"/>
  <c r="V244" i="2" s="1"/>
  <c r="T245" i="2"/>
  <c r="V245" i="2" s="1"/>
  <c r="T246" i="2"/>
  <c r="V246" i="2" s="1"/>
  <c r="T247" i="2"/>
  <c r="V247" i="2" s="1"/>
  <c r="T248" i="2"/>
  <c r="V248" i="2" s="1"/>
  <c r="T249" i="2"/>
  <c r="V249" i="2" s="1"/>
  <c r="T250" i="2"/>
  <c r="V250" i="2" s="1"/>
  <c r="T251" i="2"/>
  <c r="V251" i="2" s="1"/>
  <c r="T252" i="2"/>
  <c r="V252" i="2" s="1"/>
  <c r="T253" i="2"/>
  <c r="V253" i="2" s="1"/>
  <c r="T254" i="2"/>
  <c r="V254" i="2" s="1"/>
  <c r="T255" i="2"/>
  <c r="V255" i="2" s="1"/>
  <c r="T256" i="2"/>
  <c r="V256" i="2" s="1"/>
  <c r="T257" i="2"/>
  <c r="V257" i="2" s="1"/>
  <c r="T258" i="2"/>
  <c r="V258" i="2" s="1"/>
  <c r="T259" i="2"/>
  <c r="V259" i="2" s="1"/>
  <c r="T260" i="2"/>
  <c r="V260" i="2" s="1"/>
  <c r="T261" i="2"/>
  <c r="V261" i="2" s="1"/>
  <c r="T262" i="2"/>
  <c r="V262" i="2" s="1"/>
  <c r="T263" i="2"/>
  <c r="V263" i="2" s="1"/>
  <c r="T264" i="2"/>
  <c r="V264" i="2" s="1"/>
  <c r="T265" i="2"/>
  <c r="V265" i="2" s="1"/>
  <c r="T266" i="2"/>
  <c r="V266" i="2" s="1"/>
  <c r="T267" i="2"/>
  <c r="V267" i="2" s="1"/>
  <c r="T268" i="2"/>
  <c r="V268" i="2" s="1"/>
  <c r="T269" i="2"/>
  <c r="V269" i="2" s="1"/>
  <c r="T270" i="2"/>
  <c r="V270" i="2" s="1"/>
  <c r="T271" i="2"/>
  <c r="V271" i="2" s="1"/>
  <c r="T272" i="2"/>
  <c r="V272" i="2" s="1"/>
  <c r="T273" i="2"/>
  <c r="V273" i="2" s="1"/>
  <c r="T274" i="2"/>
  <c r="V274" i="2" s="1"/>
  <c r="T275" i="2"/>
  <c r="V275" i="2" s="1"/>
  <c r="T276" i="2"/>
  <c r="V276" i="2" s="1"/>
  <c r="T277" i="2"/>
  <c r="V277" i="2" s="1"/>
  <c r="T278" i="2"/>
  <c r="V278" i="2" s="1"/>
  <c r="T279" i="2"/>
  <c r="V279" i="2" s="1"/>
  <c r="T280" i="2"/>
  <c r="V280" i="2" s="1"/>
  <c r="T281" i="2"/>
  <c r="V281" i="2" s="1"/>
  <c r="T282" i="2"/>
  <c r="V282" i="2" s="1"/>
  <c r="T283" i="2"/>
  <c r="V283" i="2" s="1"/>
  <c r="T284" i="2"/>
  <c r="V284" i="2" s="1"/>
  <c r="T285" i="2"/>
  <c r="V285" i="2" s="1"/>
  <c r="T286" i="2"/>
  <c r="V286" i="2" s="1"/>
  <c r="T287" i="2"/>
  <c r="V287" i="2" s="1"/>
  <c r="T288" i="2"/>
  <c r="V288" i="2" s="1"/>
  <c r="T289" i="2"/>
  <c r="V289" i="2" s="1"/>
  <c r="T290" i="2"/>
  <c r="V290" i="2" s="1"/>
  <c r="T291" i="2"/>
  <c r="V291" i="2" s="1"/>
  <c r="T292" i="2"/>
  <c r="V292" i="2" s="1"/>
  <c r="T293" i="2"/>
  <c r="V293" i="2" s="1"/>
  <c r="T294" i="2"/>
  <c r="V294" i="2" s="1"/>
  <c r="T295" i="2"/>
  <c r="V295" i="2" s="1"/>
  <c r="T296" i="2"/>
  <c r="V296" i="2" s="1"/>
  <c r="T297" i="2"/>
  <c r="V297" i="2" s="1"/>
  <c r="T298" i="2"/>
  <c r="V298" i="2" s="1"/>
  <c r="T299" i="2"/>
  <c r="V299" i="2" s="1"/>
  <c r="T300" i="2"/>
  <c r="V300" i="2" s="1"/>
  <c r="T301" i="2"/>
  <c r="V301" i="2" s="1"/>
  <c r="T302" i="2"/>
  <c r="V302" i="2" s="1"/>
  <c r="T303" i="2"/>
  <c r="V303" i="2" s="1"/>
  <c r="T304" i="2"/>
  <c r="V304" i="2" s="1"/>
  <c r="T305" i="2"/>
  <c r="V305" i="2" s="1"/>
  <c r="T306" i="2"/>
  <c r="V306" i="2" s="1"/>
  <c r="T307" i="2"/>
  <c r="V307" i="2" s="1"/>
  <c r="T308" i="2"/>
  <c r="V308" i="2" s="1"/>
  <c r="T309" i="2"/>
  <c r="V309" i="2" s="1"/>
  <c r="T310" i="2"/>
  <c r="V310" i="2" s="1"/>
  <c r="T311" i="2"/>
  <c r="V311" i="2" s="1"/>
  <c r="T312" i="2"/>
  <c r="V312" i="2" s="1"/>
  <c r="T313" i="2"/>
  <c r="V313" i="2" s="1"/>
  <c r="T314" i="2"/>
  <c r="V314" i="2" s="1"/>
  <c r="T315" i="2"/>
  <c r="V315" i="2" s="1"/>
  <c r="T316" i="2"/>
  <c r="V316" i="2" s="1"/>
  <c r="T317" i="2"/>
  <c r="V317" i="2" s="1"/>
  <c r="T318" i="2"/>
  <c r="V318" i="2" s="1"/>
  <c r="T319" i="2"/>
  <c r="V319" i="2" s="1"/>
  <c r="T320" i="2"/>
  <c r="V320" i="2" s="1"/>
  <c r="T321" i="2"/>
  <c r="V321" i="2" s="1"/>
  <c r="T322" i="2"/>
  <c r="V322" i="2" s="1"/>
  <c r="T323" i="2"/>
  <c r="V323" i="2" s="1"/>
  <c r="T324" i="2"/>
  <c r="V324" i="2" s="1"/>
  <c r="T325" i="2"/>
  <c r="V325" i="2" s="1"/>
  <c r="T326" i="2"/>
  <c r="V326" i="2" s="1"/>
  <c r="T327" i="2"/>
  <c r="V327" i="2" s="1"/>
  <c r="T328" i="2"/>
  <c r="V328" i="2" s="1"/>
  <c r="T329" i="2"/>
  <c r="V329" i="2" s="1"/>
  <c r="T330" i="2"/>
  <c r="V330" i="2" s="1"/>
  <c r="T331" i="2"/>
  <c r="V331" i="2" s="1"/>
  <c r="T332" i="2"/>
  <c r="V332" i="2" s="1"/>
  <c r="T333" i="2"/>
  <c r="V333" i="2" s="1"/>
  <c r="T334" i="2"/>
  <c r="V334" i="2" s="1"/>
  <c r="T335" i="2"/>
  <c r="V335" i="2" s="1"/>
  <c r="T336" i="2"/>
  <c r="V336" i="2" s="1"/>
  <c r="T337" i="2"/>
  <c r="V337" i="2" s="1"/>
  <c r="T338" i="2"/>
  <c r="V338" i="2" s="1"/>
  <c r="T339" i="2"/>
  <c r="V339" i="2" s="1"/>
  <c r="T340" i="2"/>
  <c r="V340" i="2" s="1"/>
  <c r="T341" i="2"/>
  <c r="V341" i="2" s="1"/>
  <c r="T342" i="2"/>
  <c r="V342" i="2" s="1"/>
  <c r="T343" i="2"/>
  <c r="V343" i="2" s="1"/>
  <c r="T344" i="2"/>
  <c r="V344" i="2" s="1"/>
  <c r="T345" i="2"/>
  <c r="V345" i="2" s="1"/>
  <c r="T346" i="2"/>
  <c r="V346" i="2" s="1"/>
  <c r="T347" i="2"/>
  <c r="V347" i="2" s="1"/>
  <c r="T348" i="2"/>
  <c r="V348" i="2" s="1"/>
  <c r="T349" i="2"/>
  <c r="V349" i="2" s="1"/>
  <c r="T350" i="2"/>
  <c r="V350" i="2" s="1"/>
  <c r="T351" i="2"/>
  <c r="V351" i="2" s="1"/>
  <c r="T352" i="2"/>
  <c r="V352" i="2" s="1"/>
  <c r="T353" i="2"/>
  <c r="V353" i="2" s="1"/>
  <c r="T354" i="2"/>
  <c r="V354" i="2" s="1"/>
  <c r="T355" i="2"/>
  <c r="V355" i="2" s="1"/>
  <c r="T356" i="2"/>
  <c r="V356" i="2" s="1"/>
  <c r="T357" i="2"/>
  <c r="V357" i="2" s="1"/>
  <c r="T358" i="2"/>
  <c r="V358" i="2" s="1"/>
  <c r="T359" i="2"/>
  <c r="V359" i="2" s="1"/>
  <c r="T360" i="2"/>
  <c r="V360" i="2" s="1"/>
  <c r="T361" i="2"/>
  <c r="V361" i="2" s="1"/>
  <c r="T362" i="2"/>
  <c r="V362" i="2" s="1"/>
  <c r="T363" i="2"/>
  <c r="V363" i="2" s="1"/>
  <c r="T364" i="2"/>
  <c r="V364" i="2" s="1"/>
  <c r="T365" i="2"/>
  <c r="V365" i="2" s="1"/>
  <c r="T366" i="2"/>
  <c r="V366" i="2" s="1"/>
  <c r="T367" i="2"/>
  <c r="V367" i="2" s="1"/>
  <c r="T368" i="2"/>
  <c r="V368" i="2" s="1"/>
  <c r="T369" i="2"/>
  <c r="V369" i="2" s="1"/>
  <c r="T370" i="2"/>
  <c r="V370" i="2" s="1"/>
  <c r="T371" i="2"/>
  <c r="V371" i="2" s="1"/>
  <c r="T372" i="2"/>
  <c r="V372" i="2" s="1"/>
  <c r="T373" i="2"/>
  <c r="V373" i="2" s="1"/>
  <c r="T374" i="2"/>
  <c r="V374" i="2" s="1"/>
  <c r="T375" i="2"/>
  <c r="V375" i="2" s="1"/>
  <c r="T376" i="2"/>
  <c r="V376" i="2" s="1"/>
  <c r="T377" i="2"/>
  <c r="V377" i="2" s="1"/>
  <c r="T378" i="2"/>
  <c r="V378" i="2" s="1"/>
  <c r="T379" i="2"/>
  <c r="V379" i="2" s="1"/>
  <c r="T380" i="2"/>
  <c r="V380" i="2" s="1"/>
  <c r="T381" i="2"/>
  <c r="V381" i="2" s="1"/>
  <c r="T382" i="2"/>
  <c r="V382" i="2" s="1"/>
  <c r="T383" i="2"/>
  <c r="V383" i="2" s="1"/>
  <c r="T384" i="2"/>
  <c r="V384" i="2" s="1"/>
  <c r="T385" i="2"/>
  <c r="V385" i="2" s="1"/>
  <c r="T386" i="2"/>
  <c r="V386" i="2" s="1"/>
  <c r="T387" i="2"/>
  <c r="V387" i="2" s="1"/>
  <c r="T388" i="2"/>
  <c r="V388" i="2" s="1"/>
  <c r="T389" i="2"/>
  <c r="V389" i="2" s="1"/>
  <c r="T390" i="2"/>
  <c r="V390" i="2" s="1"/>
  <c r="T391" i="2"/>
  <c r="V391" i="2" s="1"/>
  <c r="T392" i="2"/>
  <c r="V392" i="2" s="1"/>
  <c r="T393" i="2"/>
  <c r="V393" i="2" s="1"/>
  <c r="T394" i="2"/>
  <c r="V394" i="2" s="1"/>
  <c r="T395" i="2"/>
  <c r="V395" i="2" s="1"/>
  <c r="T396" i="2"/>
  <c r="V396" i="2" s="1"/>
  <c r="T397" i="2"/>
  <c r="V397" i="2" s="1"/>
  <c r="T398" i="2"/>
  <c r="V398" i="2" s="1"/>
  <c r="T399" i="2"/>
  <c r="V399" i="2" s="1"/>
  <c r="T400" i="2"/>
  <c r="V400" i="2" s="1"/>
  <c r="T401" i="2"/>
  <c r="V401" i="2" s="1"/>
  <c r="T402" i="2"/>
  <c r="V402" i="2" s="1"/>
  <c r="T403" i="2"/>
  <c r="V403" i="2" s="1"/>
  <c r="T404" i="2"/>
  <c r="V404" i="2" s="1"/>
  <c r="T405" i="2"/>
  <c r="V405" i="2" s="1"/>
  <c r="T406" i="2"/>
  <c r="V406" i="2" s="1"/>
  <c r="T407" i="2"/>
  <c r="V407" i="2" s="1"/>
  <c r="T408" i="2"/>
  <c r="V408" i="2" s="1"/>
  <c r="T409" i="2"/>
  <c r="V409" i="2" s="1"/>
  <c r="T410" i="2"/>
  <c r="V410" i="2" s="1"/>
  <c r="T411" i="2"/>
  <c r="V411" i="2" s="1"/>
  <c r="T412" i="2"/>
  <c r="V412" i="2" s="1"/>
  <c r="T413" i="2"/>
  <c r="V413" i="2" s="1"/>
  <c r="T414" i="2"/>
  <c r="V414" i="2" s="1"/>
  <c r="T415" i="2"/>
  <c r="V415" i="2" s="1"/>
  <c r="T416" i="2"/>
  <c r="V416" i="2" s="1"/>
  <c r="T417" i="2"/>
  <c r="V417" i="2" s="1"/>
  <c r="T418" i="2"/>
  <c r="V418" i="2" s="1"/>
  <c r="T419" i="2"/>
  <c r="V419" i="2" s="1"/>
  <c r="T420" i="2"/>
  <c r="V420" i="2" s="1"/>
  <c r="T421" i="2"/>
  <c r="V421" i="2" s="1"/>
  <c r="T422" i="2"/>
  <c r="V422" i="2" s="1"/>
  <c r="T423" i="2"/>
  <c r="V423" i="2" s="1"/>
  <c r="T424" i="2"/>
  <c r="V424" i="2" s="1"/>
  <c r="T425" i="2"/>
  <c r="V425" i="2" s="1"/>
  <c r="T426" i="2"/>
  <c r="V426" i="2" s="1"/>
  <c r="T427" i="2"/>
  <c r="V427" i="2" s="1"/>
  <c r="T428" i="2"/>
  <c r="V428" i="2" s="1"/>
  <c r="T429" i="2"/>
  <c r="V429" i="2" s="1"/>
  <c r="T430" i="2"/>
  <c r="V430" i="2" s="1"/>
  <c r="T431" i="2"/>
  <c r="V431" i="2" s="1"/>
  <c r="T432" i="2"/>
  <c r="V432" i="2" s="1"/>
  <c r="T433" i="2"/>
  <c r="V433" i="2" s="1"/>
  <c r="T434" i="2"/>
  <c r="V434" i="2" s="1"/>
  <c r="T435" i="2"/>
  <c r="V435" i="2" s="1"/>
  <c r="T436" i="2"/>
  <c r="V436" i="2" s="1"/>
  <c r="T437" i="2"/>
  <c r="V437" i="2" s="1"/>
  <c r="T438" i="2"/>
  <c r="V438" i="2" s="1"/>
  <c r="T439" i="2"/>
  <c r="V439" i="2" s="1"/>
  <c r="T440" i="2"/>
  <c r="V440" i="2" s="1"/>
  <c r="T441" i="2"/>
  <c r="V441" i="2" s="1"/>
  <c r="T442" i="2"/>
  <c r="V442" i="2" s="1"/>
  <c r="T443" i="2"/>
  <c r="V443" i="2" s="1"/>
  <c r="T444" i="2"/>
  <c r="V444" i="2" s="1"/>
  <c r="T445" i="2"/>
  <c r="V445" i="2" s="1"/>
  <c r="T446" i="2"/>
  <c r="V446" i="2" s="1"/>
  <c r="T447" i="2"/>
  <c r="V447" i="2" s="1"/>
  <c r="T448" i="2"/>
  <c r="V448" i="2" s="1"/>
  <c r="T449" i="2"/>
  <c r="V449" i="2" s="1"/>
  <c r="T450" i="2"/>
  <c r="V450" i="2" s="1"/>
  <c r="T451" i="2"/>
  <c r="V451" i="2" s="1"/>
  <c r="T452" i="2"/>
  <c r="V452" i="2" s="1"/>
  <c r="T453" i="2"/>
  <c r="V453" i="2" s="1"/>
  <c r="T454" i="2"/>
  <c r="V454" i="2" s="1"/>
  <c r="T455" i="2"/>
  <c r="V455" i="2" s="1"/>
  <c r="T456" i="2"/>
  <c r="V456" i="2" s="1"/>
  <c r="T457" i="2"/>
  <c r="V457" i="2" s="1"/>
  <c r="T458" i="2"/>
  <c r="V458" i="2" s="1"/>
  <c r="T459" i="2"/>
  <c r="V459" i="2" s="1"/>
  <c r="T460" i="2"/>
  <c r="V460" i="2" s="1"/>
  <c r="T461" i="2"/>
  <c r="V461" i="2" s="1"/>
  <c r="T462" i="2"/>
  <c r="V462" i="2" s="1"/>
  <c r="T463" i="2"/>
  <c r="V463" i="2" s="1"/>
  <c r="T464" i="2"/>
  <c r="V464" i="2" s="1"/>
  <c r="T465" i="2"/>
  <c r="V465" i="2" s="1"/>
  <c r="T466" i="2"/>
  <c r="V466" i="2" s="1"/>
  <c r="T467" i="2"/>
  <c r="V467" i="2" s="1"/>
  <c r="T468" i="2"/>
  <c r="V468" i="2" s="1"/>
  <c r="T469" i="2"/>
  <c r="V469" i="2" s="1"/>
  <c r="T470" i="2"/>
  <c r="V470" i="2" s="1"/>
  <c r="T471" i="2"/>
  <c r="V471" i="2" s="1"/>
  <c r="T472" i="2"/>
  <c r="V472" i="2" s="1"/>
  <c r="T473" i="2"/>
  <c r="V473" i="2" s="1"/>
  <c r="T474" i="2"/>
  <c r="V474" i="2" s="1"/>
  <c r="T475" i="2"/>
  <c r="V475" i="2" s="1"/>
  <c r="T476" i="2"/>
  <c r="V476" i="2" s="1"/>
  <c r="T477" i="2"/>
  <c r="V477" i="2" s="1"/>
  <c r="T478" i="2"/>
  <c r="V478" i="2" s="1"/>
  <c r="T479" i="2"/>
  <c r="V479" i="2" s="1"/>
  <c r="T480" i="2"/>
  <c r="V480" i="2" s="1"/>
  <c r="T481" i="2"/>
  <c r="V481" i="2" s="1"/>
  <c r="T482" i="2"/>
  <c r="V482" i="2" s="1"/>
  <c r="T483" i="2"/>
  <c r="V483" i="2" s="1"/>
  <c r="T484" i="2"/>
  <c r="V484" i="2" s="1"/>
  <c r="T485" i="2"/>
  <c r="V485" i="2" s="1"/>
  <c r="T486" i="2"/>
  <c r="V486" i="2" s="1"/>
  <c r="T487" i="2"/>
  <c r="V487" i="2" s="1"/>
  <c r="T488" i="2"/>
  <c r="V488" i="2" s="1"/>
  <c r="T489" i="2"/>
  <c r="V489" i="2" s="1"/>
  <c r="T490" i="2"/>
  <c r="V490" i="2" s="1"/>
  <c r="T491" i="2"/>
  <c r="V491" i="2" s="1"/>
  <c r="T492" i="2"/>
  <c r="V492" i="2" s="1"/>
  <c r="T493" i="2"/>
  <c r="V493" i="2" s="1"/>
  <c r="T494" i="2"/>
  <c r="V494" i="2" s="1"/>
  <c r="T495" i="2"/>
  <c r="V495" i="2" s="1"/>
  <c r="T496" i="2"/>
  <c r="V496" i="2" s="1"/>
  <c r="T497" i="2"/>
  <c r="V497" i="2" s="1"/>
  <c r="T498" i="2"/>
  <c r="V498" i="2" s="1"/>
  <c r="T499" i="2"/>
  <c r="V499" i="2" s="1"/>
  <c r="T500" i="2"/>
  <c r="V500" i="2" s="1"/>
  <c r="T501" i="2"/>
  <c r="V501" i="2" s="1"/>
  <c r="T502" i="2"/>
  <c r="V502" i="2" s="1"/>
  <c r="T503" i="2"/>
  <c r="V503" i="2" s="1"/>
  <c r="T504" i="2"/>
  <c r="V504" i="2" s="1"/>
  <c r="T505" i="2"/>
  <c r="V505" i="2" s="1"/>
  <c r="T506" i="2"/>
  <c r="V506" i="2" s="1"/>
  <c r="T507" i="2"/>
  <c r="V507" i="2" s="1"/>
  <c r="T508" i="2"/>
  <c r="V508" i="2" s="1"/>
  <c r="T509" i="2"/>
  <c r="V509" i="2" s="1"/>
  <c r="T510" i="2"/>
  <c r="V510" i="2" s="1"/>
  <c r="T511" i="2"/>
  <c r="V511" i="2" s="1"/>
  <c r="T512" i="2"/>
  <c r="V512" i="2" s="1"/>
  <c r="T513" i="2"/>
  <c r="V513" i="2" s="1"/>
  <c r="T514" i="2"/>
  <c r="V514" i="2" s="1"/>
  <c r="T515" i="2"/>
  <c r="V515" i="2" s="1"/>
  <c r="T516" i="2"/>
  <c r="V516" i="2" s="1"/>
  <c r="T517" i="2"/>
  <c r="V517" i="2" s="1"/>
  <c r="T518" i="2"/>
  <c r="V518" i="2" s="1"/>
  <c r="T519" i="2"/>
  <c r="V519" i="2" s="1"/>
  <c r="T520" i="2"/>
  <c r="V520" i="2" s="1"/>
  <c r="T521" i="2"/>
  <c r="V521" i="2" s="1"/>
  <c r="T522" i="2"/>
  <c r="V522" i="2" s="1"/>
  <c r="T523" i="2"/>
  <c r="V523" i="2" s="1"/>
  <c r="T524" i="2"/>
  <c r="V524" i="2" s="1"/>
  <c r="T525" i="2"/>
  <c r="V525" i="2" s="1"/>
  <c r="T526" i="2"/>
  <c r="V526" i="2" s="1"/>
  <c r="T527" i="2"/>
  <c r="V527" i="2" s="1"/>
  <c r="T528" i="2"/>
  <c r="V528" i="2" s="1"/>
  <c r="T529" i="2"/>
  <c r="V529" i="2" s="1"/>
  <c r="T530" i="2"/>
  <c r="V530" i="2" s="1"/>
  <c r="T531" i="2"/>
  <c r="V531" i="2" s="1"/>
  <c r="T532" i="2"/>
  <c r="V532" i="2" s="1"/>
  <c r="T533" i="2"/>
  <c r="V533" i="2" s="1"/>
  <c r="T534" i="2"/>
  <c r="V534" i="2" s="1"/>
  <c r="T535" i="2"/>
  <c r="V535" i="2" s="1"/>
  <c r="T536" i="2"/>
  <c r="V536" i="2" s="1"/>
  <c r="T537" i="2"/>
  <c r="V537" i="2" s="1"/>
  <c r="T538" i="2"/>
  <c r="V538" i="2" s="1"/>
  <c r="T539" i="2"/>
  <c r="V539" i="2" s="1"/>
  <c r="T540" i="2"/>
  <c r="V540" i="2" s="1"/>
  <c r="T541" i="2"/>
  <c r="V541" i="2" s="1"/>
  <c r="T542" i="2"/>
  <c r="V542" i="2" s="1"/>
  <c r="T543" i="2"/>
  <c r="V543" i="2" s="1"/>
  <c r="T544" i="2"/>
  <c r="V544" i="2" s="1"/>
  <c r="T545" i="2"/>
  <c r="V545" i="2" s="1"/>
  <c r="T546" i="2"/>
  <c r="V546" i="2" s="1"/>
  <c r="T547" i="2"/>
  <c r="V547" i="2" s="1"/>
  <c r="T548" i="2"/>
  <c r="V548" i="2" s="1"/>
  <c r="T549" i="2"/>
  <c r="V549" i="2" s="1"/>
  <c r="T550" i="2"/>
  <c r="V550" i="2" s="1"/>
  <c r="T551" i="2"/>
  <c r="V551" i="2" s="1"/>
  <c r="T552" i="2"/>
  <c r="V552" i="2" s="1"/>
  <c r="T553" i="2"/>
  <c r="V553" i="2" s="1"/>
  <c r="T554" i="2"/>
  <c r="V554" i="2" s="1"/>
  <c r="T555" i="2"/>
  <c r="V555" i="2" s="1"/>
  <c r="T556" i="2"/>
  <c r="V556" i="2" s="1"/>
  <c r="T557" i="2"/>
  <c r="V557" i="2" s="1"/>
  <c r="T558" i="2"/>
  <c r="V558" i="2" s="1"/>
  <c r="T559" i="2"/>
  <c r="V559" i="2" s="1"/>
  <c r="T560" i="2"/>
  <c r="V560" i="2" s="1"/>
  <c r="T561" i="2"/>
  <c r="V561" i="2" s="1"/>
  <c r="T562" i="2"/>
  <c r="V562" i="2" s="1"/>
  <c r="T563" i="2"/>
  <c r="V563" i="2" s="1"/>
  <c r="T564" i="2"/>
  <c r="V564" i="2" s="1"/>
  <c r="T565" i="2"/>
  <c r="V565" i="2" s="1"/>
  <c r="T566" i="2"/>
  <c r="V566" i="2" s="1"/>
  <c r="T567" i="2"/>
  <c r="V567" i="2" s="1"/>
  <c r="T568" i="2"/>
  <c r="V568" i="2" s="1"/>
  <c r="T569" i="2"/>
  <c r="V569" i="2" s="1"/>
  <c r="T570" i="2"/>
  <c r="V570" i="2" s="1"/>
  <c r="T571" i="2"/>
  <c r="V571" i="2" s="1"/>
  <c r="T572" i="2"/>
  <c r="V572" i="2" s="1"/>
  <c r="T573" i="2"/>
  <c r="V573" i="2" s="1"/>
  <c r="T574" i="2"/>
  <c r="V574" i="2" s="1"/>
  <c r="T575" i="2"/>
  <c r="V575" i="2" s="1"/>
  <c r="T576" i="2"/>
  <c r="V576" i="2" s="1"/>
  <c r="T577" i="2"/>
  <c r="V577" i="2" s="1"/>
  <c r="T578" i="2"/>
  <c r="V578" i="2" s="1"/>
  <c r="T579" i="2"/>
  <c r="V579" i="2" s="1"/>
  <c r="T580" i="2"/>
  <c r="V580" i="2" s="1"/>
  <c r="T581" i="2"/>
  <c r="V581" i="2" s="1"/>
  <c r="T582" i="2"/>
  <c r="V582" i="2" s="1"/>
  <c r="T583" i="2"/>
  <c r="V583" i="2" s="1"/>
  <c r="T584" i="2"/>
  <c r="V584" i="2" s="1"/>
  <c r="T585" i="2"/>
  <c r="V585" i="2" s="1"/>
  <c r="T586" i="2"/>
  <c r="V586" i="2" s="1"/>
  <c r="T587" i="2"/>
  <c r="V587" i="2" s="1"/>
  <c r="T588" i="2"/>
  <c r="V588" i="2" s="1"/>
  <c r="T589" i="2"/>
  <c r="V589" i="2" s="1"/>
  <c r="T590" i="2"/>
  <c r="V590" i="2" s="1"/>
  <c r="T591" i="2"/>
  <c r="V591" i="2" s="1"/>
  <c r="T592" i="2"/>
  <c r="V592" i="2" s="1"/>
  <c r="T593" i="2"/>
  <c r="V593" i="2" s="1"/>
  <c r="T594" i="2"/>
  <c r="V594" i="2" s="1"/>
  <c r="T595" i="2"/>
  <c r="V595" i="2" s="1"/>
  <c r="T596" i="2"/>
  <c r="V596" i="2" s="1"/>
  <c r="T597" i="2"/>
  <c r="V597" i="2" s="1"/>
  <c r="T598" i="2"/>
  <c r="V598" i="2" s="1"/>
  <c r="T599" i="2"/>
  <c r="V599" i="2" s="1"/>
  <c r="T600" i="2"/>
  <c r="V600" i="2" s="1"/>
  <c r="T601" i="2"/>
  <c r="V601" i="2" s="1"/>
  <c r="T602" i="2"/>
  <c r="V602" i="2" s="1"/>
  <c r="T603" i="2"/>
  <c r="V603" i="2" s="1"/>
  <c r="T604" i="2"/>
  <c r="V604" i="2" s="1"/>
  <c r="T605" i="2"/>
  <c r="V605" i="2" s="1"/>
  <c r="T606" i="2"/>
  <c r="V606" i="2" s="1"/>
  <c r="T607" i="2"/>
  <c r="V607" i="2" s="1"/>
  <c r="T608" i="2"/>
  <c r="V608" i="2" s="1"/>
  <c r="T609" i="2"/>
  <c r="V609" i="2" s="1"/>
  <c r="T610" i="2"/>
  <c r="V610" i="2" s="1"/>
  <c r="T611" i="2"/>
  <c r="V611" i="2" s="1"/>
  <c r="T612" i="2"/>
  <c r="V612" i="2" s="1"/>
  <c r="T613" i="2"/>
  <c r="V613" i="2" s="1"/>
  <c r="T614" i="2"/>
  <c r="V614" i="2" s="1"/>
  <c r="T615" i="2"/>
  <c r="V615" i="2" s="1"/>
  <c r="T616" i="2"/>
  <c r="V616" i="2" s="1"/>
  <c r="T617" i="2"/>
  <c r="V617" i="2" s="1"/>
  <c r="T618" i="2"/>
  <c r="V618" i="2" s="1"/>
  <c r="T619" i="2"/>
  <c r="V619" i="2" s="1"/>
  <c r="T620" i="2"/>
  <c r="V620" i="2" s="1"/>
  <c r="T621" i="2"/>
  <c r="V621" i="2" s="1"/>
  <c r="T622" i="2"/>
  <c r="V622" i="2" s="1"/>
  <c r="T623" i="2"/>
  <c r="V623" i="2" s="1"/>
  <c r="T624" i="2"/>
  <c r="V624" i="2" s="1"/>
  <c r="T625" i="2"/>
  <c r="V625" i="2" s="1"/>
  <c r="T626" i="2"/>
  <c r="V626" i="2" s="1"/>
  <c r="T627" i="2"/>
  <c r="V627" i="2" s="1"/>
  <c r="T628" i="2"/>
  <c r="V628" i="2" s="1"/>
  <c r="T629" i="2"/>
  <c r="V629" i="2" s="1"/>
  <c r="T630" i="2"/>
  <c r="V630" i="2" s="1"/>
  <c r="T631" i="2"/>
  <c r="V631" i="2" s="1"/>
  <c r="T632" i="2"/>
  <c r="V632" i="2" s="1"/>
  <c r="T633" i="2"/>
  <c r="V633" i="2" s="1"/>
  <c r="T634" i="2"/>
  <c r="V634" i="2" s="1"/>
  <c r="T635" i="2"/>
  <c r="V635" i="2" s="1"/>
  <c r="T636" i="2"/>
  <c r="V636" i="2" s="1"/>
  <c r="T637" i="2"/>
  <c r="V637" i="2" s="1"/>
  <c r="T638" i="2"/>
  <c r="V638" i="2" s="1"/>
  <c r="T639" i="2"/>
  <c r="V639" i="2" s="1"/>
  <c r="T640" i="2"/>
  <c r="V640" i="2" s="1"/>
  <c r="T641" i="2"/>
  <c r="V641" i="2" s="1"/>
  <c r="T642" i="2"/>
  <c r="V642" i="2" s="1"/>
  <c r="T643" i="2"/>
  <c r="V643" i="2" s="1"/>
  <c r="T644" i="2"/>
  <c r="V644" i="2" s="1"/>
  <c r="T645" i="2"/>
  <c r="V645" i="2" s="1"/>
  <c r="T646" i="2"/>
  <c r="V646" i="2" s="1"/>
  <c r="T647" i="2"/>
  <c r="V647" i="2" s="1"/>
  <c r="T648" i="2"/>
  <c r="V648" i="2" s="1"/>
  <c r="T649" i="2"/>
  <c r="V649" i="2" s="1"/>
  <c r="T650" i="2"/>
  <c r="V650" i="2" s="1"/>
  <c r="T651" i="2"/>
  <c r="V651" i="2" s="1"/>
  <c r="T652" i="2"/>
  <c r="V652" i="2" s="1"/>
  <c r="T653" i="2"/>
  <c r="V653" i="2" s="1"/>
  <c r="T654" i="2"/>
  <c r="V654" i="2" s="1"/>
  <c r="T655" i="2"/>
  <c r="V655" i="2" s="1"/>
  <c r="T656" i="2"/>
  <c r="V656" i="2" s="1"/>
  <c r="T657" i="2"/>
  <c r="V657" i="2" s="1"/>
  <c r="T658" i="2"/>
  <c r="V658" i="2" s="1"/>
  <c r="T659" i="2"/>
  <c r="V659" i="2" s="1"/>
  <c r="T660" i="2"/>
  <c r="V660" i="2" s="1"/>
  <c r="T661" i="2"/>
  <c r="V661" i="2" s="1"/>
  <c r="T662" i="2"/>
  <c r="V662" i="2" s="1"/>
  <c r="T663" i="2"/>
  <c r="V663" i="2" s="1"/>
  <c r="T664" i="2"/>
  <c r="V664" i="2" s="1"/>
  <c r="T665" i="2"/>
  <c r="V665" i="2" s="1"/>
  <c r="T666" i="2"/>
  <c r="V666" i="2" s="1"/>
  <c r="T667" i="2"/>
  <c r="V667" i="2" s="1"/>
  <c r="T668" i="2"/>
  <c r="V668" i="2" s="1"/>
  <c r="T669" i="2"/>
  <c r="V669" i="2" s="1"/>
  <c r="T670" i="2"/>
  <c r="V670" i="2" s="1"/>
  <c r="T671" i="2"/>
  <c r="V671" i="2" s="1"/>
  <c r="T672" i="2"/>
  <c r="V672" i="2" s="1"/>
  <c r="T673" i="2"/>
  <c r="V673" i="2" s="1"/>
  <c r="T674" i="2"/>
  <c r="V674" i="2" s="1"/>
  <c r="T675" i="2"/>
  <c r="V675" i="2" s="1"/>
  <c r="T676" i="2"/>
  <c r="V676" i="2" s="1"/>
  <c r="T677" i="2"/>
  <c r="V677" i="2" s="1"/>
  <c r="T678" i="2"/>
  <c r="V678" i="2" s="1"/>
  <c r="T679" i="2"/>
  <c r="V679" i="2" s="1"/>
  <c r="T680" i="2"/>
  <c r="V680" i="2" s="1"/>
  <c r="T681" i="2"/>
  <c r="V681" i="2" s="1"/>
  <c r="T682" i="2"/>
  <c r="V682" i="2" s="1"/>
  <c r="T683" i="2"/>
  <c r="V683" i="2" s="1"/>
  <c r="T684" i="2"/>
  <c r="V684" i="2" s="1"/>
  <c r="T685" i="2"/>
  <c r="V685" i="2" s="1"/>
  <c r="T686" i="2"/>
  <c r="V686" i="2" s="1"/>
  <c r="T687" i="2"/>
  <c r="V687" i="2" s="1"/>
  <c r="T688" i="2"/>
  <c r="V688" i="2" s="1"/>
  <c r="T689" i="2"/>
  <c r="V689" i="2" s="1"/>
  <c r="T690" i="2"/>
  <c r="V690" i="2" s="1"/>
  <c r="T691" i="2"/>
  <c r="V691" i="2" s="1"/>
  <c r="T692" i="2"/>
  <c r="V692" i="2" s="1"/>
  <c r="T693" i="2"/>
  <c r="V693" i="2" s="1"/>
  <c r="T694" i="2"/>
  <c r="V694" i="2" s="1"/>
  <c r="T695" i="2"/>
  <c r="V695" i="2" s="1"/>
  <c r="T696" i="2"/>
  <c r="V696" i="2" s="1"/>
  <c r="T697" i="2"/>
  <c r="V697" i="2" s="1"/>
  <c r="T698" i="2"/>
  <c r="V698" i="2" s="1"/>
  <c r="T699" i="2"/>
  <c r="V699" i="2" s="1"/>
  <c r="T700" i="2"/>
  <c r="V700" i="2" s="1"/>
  <c r="T701" i="2"/>
  <c r="V701" i="2" s="1"/>
  <c r="T702" i="2"/>
  <c r="V702" i="2" s="1"/>
  <c r="T703" i="2"/>
  <c r="V703" i="2" s="1"/>
  <c r="T704" i="2"/>
  <c r="V704" i="2" s="1"/>
  <c r="T705" i="2"/>
  <c r="V705" i="2" s="1"/>
  <c r="T706" i="2"/>
  <c r="V706" i="2" s="1"/>
  <c r="T707" i="2"/>
  <c r="V707" i="2" s="1"/>
  <c r="T708" i="2"/>
  <c r="V708" i="2" s="1"/>
  <c r="T709" i="2"/>
  <c r="V709" i="2" s="1"/>
  <c r="T710" i="2"/>
  <c r="V710" i="2" s="1"/>
  <c r="T711" i="2"/>
  <c r="V711" i="2" s="1"/>
  <c r="T712" i="2"/>
  <c r="V712" i="2" s="1"/>
  <c r="T713" i="2"/>
  <c r="V713" i="2" s="1"/>
  <c r="T714" i="2"/>
  <c r="V714" i="2" s="1"/>
  <c r="T715" i="2"/>
  <c r="V715" i="2" s="1"/>
  <c r="T716" i="2"/>
  <c r="V716" i="2" s="1"/>
  <c r="T717" i="2"/>
  <c r="V717" i="2" s="1"/>
  <c r="T719" i="2"/>
  <c r="V719" i="2" s="1"/>
  <c r="T720" i="2"/>
  <c r="V720" i="2" s="1"/>
  <c r="T721" i="2"/>
  <c r="V721" i="2" s="1"/>
  <c r="T724" i="2"/>
  <c r="V724" i="2" s="1"/>
  <c r="T725" i="2"/>
  <c r="V725" i="2" s="1"/>
  <c r="T726" i="2"/>
  <c r="V726" i="2" s="1"/>
  <c r="T728" i="2"/>
  <c r="V728" i="2" s="1"/>
  <c r="T729" i="2"/>
  <c r="V729" i="2" s="1"/>
  <c r="T732" i="2"/>
  <c r="V732" i="2" s="1"/>
  <c r="T733" i="2"/>
  <c r="V733" i="2" s="1"/>
  <c r="T734" i="2"/>
  <c r="V734" i="2" s="1"/>
  <c r="T735" i="2"/>
  <c r="V735" i="2" s="1"/>
  <c r="T736" i="2"/>
  <c r="V736" i="2" s="1"/>
  <c r="T737" i="2"/>
  <c r="V737" i="2" s="1"/>
  <c r="T739" i="2"/>
  <c r="V739" i="2" s="1"/>
  <c r="T740" i="2"/>
  <c r="V740" i="2" s="1"/>
  <c r="T741" i="2"/>
  <c r="V741" i="2" s="1"/>
  <c r="T742" i="2"/>
  <c r="V742" i="2" s="1"/>
  <c r="V750" i="2"/>
  <c r="T751" i="2"/>
  <c r="V751" i="2" s="1"/>
  <c r="AC469" i="2" l="1"/>
  <c r="AC468" i="2" l="1"/>
  <c r="AC464" i="2" l="1"/>
  <c r="AC463" i="2"/>
  <c r="AC462" i="2" l="1"/>
  <c r="AC461" i="2"/>
  <c r="AC460" i="2"/>
  <c r="AC279" i="2" l="1"/>
  <c r="AC280" i="2"/>
  <c r="AC281" i="2"/>
  <c r="AC282" i="2"/>
  <c r="AC283" i="2"/>
  <c r="AC284" i="2"/>
  <c r="AC285" i="2"/>
  <c r="AC286" i="2"/>
  <c r="AC287" i="2"/>
  <c r="AC288" i="2"/>
  <c r="AC289" i="2"/>
  <c r="AC290" i="2"/>
  <c r="AC291" i="2"/>
  <c r="AC292" i="2"/>
  <c r="AC293" i="2"/>
  <c r="AC294" i="2"/>
  <c r="AC295" i="2"/>
  <c r="AC296" i="2"/>
  <c r="AC297" i="2"/>
  <c r="AC298" i="2"/>
  <c r="AC299" i="2"/>
  <c r="AC300" i="2"/>
  <c r="AC301" i="2"/>
  <c r="AC302" i="2"/>
  <c r="AC303" i="2"/>
  <c r="AC304" i="2"/>
  <c r="AC305" i="2"/>
  <c r="AC306" i="2"/>
  <c r="AC307" i="2"/>
  <c r="AC308" i="2"/>
  <c r="AC309" i="2"/>
  <c r="AC310" i="2"/>
  <c r="AC311" i="2"/>
  <c r="AC312" i="2"/>
  <c r="AC313" i="2"/>
  <c r="AC314" i="2"/>
  <c r="AC315" i="2"/>
  <c r="AC316" i="2"/>
  <c r="AC317" i="2"/>
  <c r="AC318" i="2"/>
  <c r="AC319" i="2"/>
  <c r="AC320" i="2"/>
  <c r="AC321" i="2"/>
  <c r="AC322" i="2"/>
  <c r="AC323" i="2"/>
  <c r="AC324" i="2"/>
  <c r="AC325" i="2"/>
  <c r="AC326" i="2"/>
  <c r="AC327" i="2"/>
  <c r="AC328" i="2"/>
  <c r="AC329" i="2"/>
  <c r="AC330" i="2"/>
  <c r="AC331" i="2"/>
  <c r="AC332" i="2"/>
  <c r="AC333" i="2"/>
  <c r="AC334" i="2"/>
  <c r="AC335" i="2"/>
  <c r="AC336" i="2"/>
  <c r="AC337" i="2"/>
  <c r="AC338" i="2"/>
  <c r="AC339" i="2"/>
  <c r="AC340" i="2"/>
  <c r="AC341" i="2"/>
  <c r="AC342" i="2"/>
  <c r="AC343" i="2"/>
  <c r="AC344" i="2"/>
  <c r="AC345" i="2"/>
  <c r="AC346" i="2"/>
  <c r="AC347" i="2"/>
  <c r="AC348" i="2"/>
  <c r="AC349" i="2"/>
  <c r="AC350" i="2"/>
  <c r="AC351" i="2"/>
  <c r="AC352" i="2"/>
  <c r="AC353" i="2"/>
  <c r="AC354" i="2"/>
  <c r="AC355" i="2"/>
  <c r="AC356" i="2"/>
  <c r="AC357" i="2"/>
  <c r="AC358" i="2"/>
  <c r="AC359" i="2"/>
  <c r="AC360" i="2"/>
  <c r="AC361" i="2"/>
  <c r="AC362" i="2"/>
  <c r="AC363" i="2"/>
  <c r="AC364" i="2"/>
  <c r="AC365" i="2"/>
  <c r="AC366" i="2"/>
  <c r="AC367" i="2"/>
  <c r="AC368" i="2"/>
  <c r="AC369" i="2"/>
  <c r="AC370" i="2"/>
  <c r="AC371" i="2"/>
  <c r="AC372" i="2"/>
  <c r="AC373" i="2"/>
  <c r="AC374" i="2"/>
  <c r="AC375" i="2"/>
  <c r="AC376" i="2"/>
  <c r="AC377" i="2"/>
  <c r="AC378" i="2"/>
  <c r="AC379" i="2"/>
  <c r="AC380" i="2"/>
  <c r="AC381" i="2"/>
  <c r="AC382" i="2"/>
  <c r="AC383" i="2"/>
  <c r="AC384" i="2"/>
  <c r="AC385" i="2"/>
  <c r="AC386" i="2"/>
  <c r="AC387" i="2"/>
  <c r="AC388" i="2"/>
  <c r="AC389" i="2"/>
  <c r="AC390" i="2"/>
  <c r="AC391" i="2"/>
  <c r="AC392" i="2"/>
  <c r="AC393" i="2"/>
  <c r="AC394" i="2"/>
  <c r="AC395" i="2"/>
  <c r="AC396" i="2"/>
  <c r="AC397" i="2"/>
  <c r="AC398" i="2"/>
  <c r="AC399" i="2"/>
  <c r="AC400" i="2"/>
  <c r="AC401" i="2"/>
  <c r="AC402" i="2"/>
  <c r="AC403" i="2"/>
  <c r="AC404" i="2"/>
  <c r="AC405" i="2"/>
  <c r="AC406" i="2"/>
  <c r="AC407" i="2"/>
  <c r="AC408" i="2"/>
  <c r="AC409" i="2"/>
  <c r="AC410" i="2"/>
  <c r="AC411" i="2"/>
  <c r="AC412" i="2"/>
  <c r="AC413" i="2"/>
  <c r="AC414" i="2"/>
  <c r="AC415" i="2"/>
  <c r="AC416" i="2"/>
  <c r="AC417" i="2"/>
  <c r="AC418" i="2"/>
  <c r="AC419" i="2"/>
  <c r="AC420" i="2"/>
  <c r="AC421" i="2"/>
  <c r="AC422" i="2"/>
  <c r="AC423" i="2"/>
  <c r="AC424" i="2"/>
  <c r="AC425" i="2"/>
  <c r="AC426" i="2"/>
  <c r="AC427" i="2"/>
  <c r="AC428" i="2"/>
  <c r="AC429" i="2"/>
  <c r="AC430" i="2"/>
  <c r="AC431" i="2"/>
  <c r="AC432" i="2"/>
  <c r="AC433" i="2"/>
  <c r="AC434" i="2"/>
  <c r="AC435" i="2"/>
  <c r="AC436" i="2"/>
  <c r="AC437" i="2"/>
  <c r="AC438" i="2"/>
  <c r="AC439" i="2"/>
  <c r="AC440" i="2"/>
  <c r="AC441" i="2"/>
  <c r="AC442" i="2"/>
  <c r="AC443" i="2"/>
  <c r="AC444" i="2"/>
  <c r="AC445" i="2"/>
  <c r="AC446" i="2"/>
  <c r="AC447" i="2"/>
  <c r="AC448" i="2"/>
  <c r="AC449" i="2"/>
  <c r="AC450" i="2"/>
  <c r="AC451" i="2"/>
  <c r="AC452" i="2"/>
  <c r="AC453" i="2"/>
  <c r="AC454" i="2"/>
  <c r="AC455" i="2"/>
  <c r="AC456" i="2"/>
  <c r="AC457" i="2"/>
  <c r="AC458" i="2"/>
  <c r="AC459" i="2"/>
  <c r="AC465" i="2"/>
  <c r="AC466" i="2"/>
  <c r="AC467" i="2"/>
  <c r="AC278" i="2" l="1"/>
  <c r="AC3" i="2" l="1"/>
  <c r="AC4" i="2"/>
  <c r="AC5" i="2"/>
  <c r="AC6" i="2"/>
  <c r="AC7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AC46" i="2"/>
  <c r="AC47" i="2"/>
  <c r="AC48" i="2"/>
  <c r="AC49" i="2"/>
  <c r="AC50" i="2"/>
  <c r="AC51" i="2"/>
  <c r="AC52" i="2"/>
  <c r="AC53" i="2"/>
  <c r="AC54" i="2"/>
  <c r="AC55" i="2"/>
  <c r="AC56" i="2"/>
  <c r="AC57" i="2"/>
  <c r="AC58" i="2"/>
  <c r="AC59" i="2"/>
  <c r="AC60" i="2"/>
  <c r="AC61" i="2"/>
  <c r="AC62" i="2"/>
  <c r="AC63" i="2"/>
  <c r="AC64" i="2"/>
  <c r="AC65" i="2"/>
  <c r="AC66" i="2"/>
  <c r="AC67" i="2"/>
  <c r="AC68" i="2"/>
  <c r="AC69" i="2"/>
  <c r="AC70" i="2"/>
  <c r="AC71" i="2"/>
  <c r="AC72" i="2"/>
  <c r="AC73" i="2"/>
  <c r="AC74" i="2"/>
  <c r="AC75" i="2"/>
  <c r="AC76" i="2"/>
  <c r="AC77" i="2"/>
  <c r="AC78" i="2"/>
  <c r="AC79" i="2"/>
  <c r="AC80" i="2"/>
  <c r="AC81" i="2"/>
  <c r="AC82" i="2"/>
  <c r="AC83" i="2"/>
  <c r="AC84" i="2"/>
  <c r="AC85" i="2"/>
  <c r="AC86" i="2"/>
  <c r="AC87" i="2"/>
  <c r="AC88" i="2"/>
  <c r="AC89" i="2"/>
  <c r="AC90" i="2"/>
  <c r="AC91" i="2"/>
  <c r="AC92" i="2"/>
  <c r="AC93" i="2"/>
  <c r="AC94" i="2"/>
  <c r="AC95" i="2"/>
  <c r="AC96" i="2"/>
  <c r="AC97" i="2"/>
  <c r="AC98" i="2"/>
  <c r="AC99" i="2"/>
  <c r="AC100" i="2"/>
  <c r="AC101" i="2"/>
  <c r="AC102" i="2"/>
  <c r="AC103" i="2"/>
  <c r="AC104" i="2"/>
  <c r="AC105" i="2"/>
  <c r="AC106" i="2"/>
  <c r="AC107" i="2"/>
  <c r="AC108" i="2"/>
  <c r="AC109" i="2"/>
  <c r="AC110" i="2"/>
  <c r="AC111" i="2"/>
  <c r="AC112" i="2"/>
  <c r="AC113" i="2"/>
  <c r="AC114" i="2"/>
  <c r="AC115" i="2"/>
  <c r="AC116" i="2"/>
  <c r="AC117" i="2"/>
  <c r="AC118" i="2"/>
  <c r="AC119" i="2"/>
  <c r="AC120" i="2"/>
  <c r="AC121" i="2"/>
  <c r="AC122" i="2"/>
  <c r="AC123" i="2"/>
  <c r="AC124" i="2"/>
  <c r="AC125" i="2"/>
  <c r="AC126" i="2"/>
  <c r="AC127" i="2"/>
  <c r="AC128" i="2"/>
  <c r="AC129" i="2"/>
  <c r="AC130" i="2"/>
  <c r="AC131" i="2"/>
  <c r="AC132" i="2"/>
  <c r="AC133" i="2"/>
  <c r="AC134" i="2"/>
  <c r="AC135" i="2"/>
  <c r="AC136" i="2"/>
  <c r="AC137" i="2"/>
  <c r="AC138" i="2"/>
  <c r="AC139" i="2"/>
  <c r="AC140" i="2"/>
  <c r="AC141" i="2"/>
  <c r="AC142" i="2"/>
  <c r="AC143" i="2"/>
  <c r="AC144" i="2"/>
  <c r="AC145" i="2"/>
  <c r="AC146" i="2"/>
  <c r="AC147" i="2"/>
  <c r="AC148" i="2"/>
  <c r="AC149" i="2"/>
  <c r="AC150" i="2"/>
  <c r="AC151" i="2"/>
  <c r="AC152" i="2"/>
  <c r="AC153" i="2"/>
  <c r="AC154" i="2"/>
  <c r="AC155" i="2"/>
  <c r="AC156" i="2"/>
  <c r="AC157" i="2"/>
  <c r="AC158" i="2"/>
  <c r="AC159" i="2"/>
  <c r="AC160" i="2"/>
  <c r="AC161" i="2"/>
  <c r="AC162" i="2"/>
  <c r="AC163" i="2"/>
  <c r="AC164" i="2"/>
  <c r="AC165" i="2"/>
  <c r="AC166" i="2"/>
  <c r="AC167" i="2"/>
  <c r="AC168" i="2"/>
  <c r="AC169" i="2"/>
  <c r="AC170" i="2"/>
  <c r="AC171" i="2"/>
  <c r="AC172" i="2"/>
  <c r="AC173" i="2"/>
  <c r="AC174" i="2"/>
  <c r="AC175" i="2"/>
  <c r="AC176" i="2"/>
  <c r="AC177" i="2"/>
  <c r="AC178" i="2"/>
  <c r="AC179" i="2"/>
  <c r="AC180" i="2"/>
  <c r="AC181" i="2"/>
  <c r="AC182" i="2"/>
  <c r="AC183" i="2"/>
  <c r="AC184" i="2"/>
  <c r="AC185" i="2"/>
  <c r="AC186" i="2"/>
  <c r="AC187" i="2"/>
  <c r="AC188" i="2"/>
  <c r="AC189" i="2"/>
  <c r="AC190" i="2"/>
  <c r="AC191" i="2"/>
  <c r="AC192" i="2"/>
  <c r="AC193" i="2"/>
  <c r="AC194" i="2"/>
  <c r="AC195" i="2"/>
  <c r="AC196" i="2"/>
  <c r="AC197" i="2"/>
  <c r="AC198" i="2"/>
  <c r="AC199" i="2"/>
  <c r="AC200" i="2"/>
  <c r="AC201" i="2"/>
  <c r="AC202" i="2"/>
  <c r="AC203" i="2"/>
  <c r="AC204" i="2"/>
  <c r="AC205" i="2"/>
  <c r="AC206" i="2"/>
  <c r="AC207" i="2"/>
  <c r="AC208" i="2"/>
  <c r="AC209" i="2"/>
  <c r="AC210" i="2"/>
  <c r="AC211" i="2"/>
  <c r="AC212" i="2"/>
  <c r="AC213" i="2"/>
  <c r="AC214" i="2"/>
  <c r="AC215" i="2"/>
  <c r="AC216" i="2"/>
  <c r="AC217" i="2"/>
  <c r="AC218" i="2"/>
  <c r="AC219" i="2"/>
  <c r="AC220" i="2"/>
  <c r="AC221" i="2"/>
  <c r="AC222" i="2"/>
  <c r="AC223" i="2"/>
  <c r="AC224" i="2"/>
  <c r="AC225" i="2"/>
  <c r="AC226" i="2"/>
  <c r="AC227" i="2"/>
  <c r="AC228" i="2"/>
  <c r="AC229" i="2"/>
  <c r="AC230" i="2"/>
  <c r="AC231" i="2"/>
  <c r="AC232" i="2"/>
  <c r="AC233" i="2"/>
  <c r="AC234" i="2"/>
  <c r="AC235" i="2"/>
  <c r="AC236" i="2"/>
  <c r="AC237" i="2"/>
  <c r="AC238" i="2"/>
  <c r="AC239" i="2"/>
  <c r="AC240" i="2"/>
  <c r="AC241" i="2"/>
  <c r="AC242" i="2"/>
  <c r="AC243" i="2"/>
  <c r="AC244" i="2"/>
  <c r="AC245" i="2"/>
  <c r="AC246" i="2"/>
  <c r="AC247" i="2"/>
  <c r="AC248" i="2"/>
  <c r="AC249" i="2"/>
  <c r="AC250" i="2"/>
  <c r="AC251" i="2"/>
  <c r="AC252" i="2"/>
  <c r="AC253" i="2"/>
  <c r="AC254" i="2"/>
  <c r="AC255" i="2"/>
  <c r="AC256" i="2"/>
  <c r="AC257" i="2"/>
  <c r="AC258" i="2"/>
  <c r="AC259" i="2"/>
  <c r="AC260" i="2"/>
  <c r="AC261" i="2"/>
  <c r="AC262" i="2"/>
  <c r="AC263" i="2"/>
  <c r="AC264" i="2"/>
  <c r="AC265" i="2"/>
  <c r="AC266" i="2"/>
  <c r="AC267" i="2"/>
  <c r="AC268" i="2"/>
  <c r="AC269" i="2"/>
  <c r="AC270" i="2"/>
  <c r="AC271" i="2"/>
  <c r="AC272" i="2"/>
  <c r="AC273" i="2"/>
  <c r="AC274" i="2"/>
  <c r="AC275" i="2"/>
  <c r="AC276" i="2"/>
  <c r="AC277" i="2"/>
  <c r="AC2" i="2"/>
  <c r="Z2" i="2" l="1"/>
  <c r="T2" i="2"/>
  <c r="V2" i="2" s="1"/>
  <c r="L2" i="2"/>
  <c r="H2" i="2"/>
  <c r="G2" i="2"/>
  <c r="O17" i="16" l="1"/>
  <c r="O12" i="16"/>
  <c r="O7" i="16"/>
  <c r="O13" i="16"/>
  <c r="O9" i="16"/>
  <c r="O15" i="16"/>
  <c r="O10" i="16"/>
  <c r="O14" i="16"/>
  <c r="O16" i="16"/>
  <c r="O11" i="16"/>
  <c r="O6" i="16"/>
  <c r="G9" i="6"/>
  <c r="G8" i="6"/>
  <c r="G7" i="6"/>
  <c r="G6" i="6"/>
  <c r="G5" i="6"/>
  <c r="F9" i="6"/>
  <c r="F8" i="6"/>
  <c r="F7" i="6"/>
  <c r="F6" i="6"/>
  <c r="F5" i="6"/>
  <c r="G4" i="6"/>
  <c r="F4" i="6"/>
  <c r="J16" i="18" l="1"/>
  <c r="J15" i="18"/>
  <c r="J14" i="18"/>
  <c r="J13" i="18"/>
  <c r="J12" i="18"/>
  <c r="J11" i="18"/>
  <c r="J10" i="18"/>
  <c r="J9" i="18"/>
  <c r="J8" i="18"/>
  <c r="J7" i="18"/>
  <c r="J6" i="18"/>
  <c r="J5" i="18"/>
  <c r="I16" i="18"/>
  <c r="I15" i="18"/>
  <c r="I14" i="18"/>
  <c r="I13" i="18"/>
  <c r="I12" i="18"/>
  <c r="I11" i="18"/>
  <c r="I10" i="18"/>
  <c r="I9" i="18"/>
  <c r="I8" i="18"/>
  <c r="I7" i="18"/>
  <c r="I6" i="18"/>
  <c r="I5" i="18"/>
  <c r="H17" i="18"/>
  <c r="G17" i="18"/>
  <c r="D17" i="18"/>
  <c r="C17" i="18"/>
  <c r="J17" i="18" l="1"/>
  <c r="I17" i="18"/>
  <c r="C2" i="2"/>
  <c r="O8" i="16" s="1"/>
  <c r="B2" i="2"/>
  <c r="F16" i="9" l="1"/>
  <c r="F12" i="9"/>
  <c r="F8" i="9"/>
  <c r="F15" i="9"/>
  <c r="F11" i="9"/>
  <c r="F7" i="9"/>
  <c r="F14" i="9"/>
  <c r="F10" i="9"/>
  <c r="F6" i="9"/>
  <c r="F13" i="9"/>
  <c r="F9" i="9"/>
  <c r="F5" i="9"/>
  <c r="F14" i="8"/>
  <c r="F10" i="8"/>
  <c r="F6" i="8"/>
  <c r="F13" i="8"/>
  <c r="F9" i="8"/>
  <c r="F7" i="8"/>
  <c r="F5" i="8"/>
  <c r="F12" i="8"/>
  <c r="F8" i="8"/>
  <c r="E5" i="8"/>
  <c r="F15" i="8"/>
  <c r="F11" i="8"/>
  <c r="F16" i="11"/>
  <c r="F12" i="11"/>
  <c r="F8" i="11"/>
  <c r="F15" i="11"/>
  <c r="F7" i="11"/>
  <c r="F14" i="11"/>
  <c r="F6" i="11"/>
  <c r="F9" i="11"/>
  <c r="F11" i="11"/>
  <c r="F10" i="11"/>
  <c r="F13" i="11"/>
  <c r="F5" i="11"/>
  <c r="F15" i="12"/>
  <c r="F11" i="12"/>
  <c r="F7" i="12"/>
  <c r="E15" i="12"/>
  <c r="E11" i="12"/>
  <c r="E7" i="12"/>
  <c r="F13" i="12"/>
  <c r="E13" i="12"/>
  <c r="F16" i="12"/>
  <c r="E16" i="12"/>
  <c r="F14" i="12"/>
  <c r="F10" i="12"/>
  <c r="F6" i="12"/>
  <c r="E14" i="12"/>
  <c r="E10" i="12"/>
  <c r="E6" i="12"/>
  <c r="F5" i="12"/>
  <c r="E5" i="12"/>
  <c r="F8" i="12"/>
  <c r="E8" i="12"/>
  <c r="F9" i="12"/>
  <c r="E9" i="12"/>
  <c r="F12" i="12"/>
  <c r="E12" i="12"/>
  <c r="F16" i="10"/>
  <c r="F12" i="10"/>
  <c r="F8" i="10"/>
  <c r="F15" i="10"/>
  <c r="F11" i="10"/>
  <c r="F7" i="10"/>
  <c r="F14" i="10"/>
  <c r="F10" i="10"/>
  <c r="F6" i="10"/>
  <c r="F13" i="10"/>
  <c r="F9" i="10"/>
  <c r="F5" i="10"/>
  <c r="F16" i="18" l="1"/>
  <c r="L16" i="18" s="1"/>
  <c r="F12" i="18"/>
  <c r="L12" i="18" s="1"/>
  <c r="F8" i="18"/>
  <c r="L8" i="18" s="1"/>
  <c r="E16" i="18"/>
  <c r="K16" i="18" s="1"/>
  <c r="E12" i="18"/>
  <c r="K12" i="18" s="1"/>
  <c r="E8" i="18"/>
  <c r="K8" i="18" s="1"/>
  <c r="F15" i="18"/>
  <c r="L15" i="18" s="1"/>
  <c r="F11" i="18"/>
  <c r="L11" i="18" s="1"/>
  <c r="F7" i="18"/>
  <c r="L7" i="18" s="1"/>
  <c r="E15" i="18"/>
  <c r="K15" i="18" s="1"/>
  <c r="E11" i="18"/>
  <c r="K11" i="18" s="1"/>
  <c r="E7" i="18"/>
  <c r="K7" i="18" s="1"/>
  <c r="F14" i="18"/>
  <c r="L14" i="18" s="1"/>
  <c r="F10" i="18"/>
  <c r="L10" i="18" s="1"/>
  <c r="F6" i="18"/>
  <c r="L6" i="18" s="1"/>
  <c r="E14" i="18"/>
  <c r="K14" i="18" s="1"/>
  <c r="E10" i="18"/>
  <c r="K10" i="18" s="1"/>
  <c r="E6" i="18"/>
  <c r="K6" i="18" s="1"/>
  <c r="F13" i="18"/>
  <c r="L13" i="18" s="1"/>
  <c r="F9" i="18"/>
  <c r="L9" i="18" s="1"/>
  <c r="F5" i="18"/>
  <c r="E13" i="18"/>
  <c r="K13" i="18" s="1"/>
  <c r="E9" i="18"/>
  <c r="K9" i="18" s="1"/>
  <c r="E5" i="18"/>
  <c r="K5" i="18" l="1"/>
  <c r="K17" i="18" s="1"/>
  <c r="E17" i="18"/>
  <c r="L5" i="18"/>
  <c r="L17" i="18" s="1"/>
  <c r="F17" i="18"/>
  <c r="M35" i="5" l="1"/>
  <c r="K35" i="5"/>
  <c r="I35" i="5"/>
  <c r="G35" i="5"/>
  <c r="E35" i="5"/>
  <c r="C35" i="5"/>
  <c r="L35" i="5"/>
  <c r="J35" i="5"/>
  <c r="H35" i="5"/>
  <c r="F35" i="5"/>
  <c r="D35" i="5"/>
  <c r="B35" i="5"/>
  <c r="C7" i="7" l="1"/>
  <c r="C9" i="7"/>
  <c r="C6" i="7"/>
  <c r="C8" i="7"/>
  <c r="C4" i="7"/>
  <c r="B4" i="6"/>
  <c r="I9" i="6" l="1"/>
  <c r="H9" i="6"/>
  <c r="G9" i="15"/>
  <c r="F9" i="15"/>
  <c r="C9" i="15"/>
  <c r="G9" i="7"/>
  <c r="F9" i="7"/>
  <c r="B9" i="15"/>
  <c r="C9" i="6"/>
  <c r="B9" i="6"/>
  <c r="C4" i="6" l="1"/>
  <c r="C10" i="6" l="1"/>
  <c r="C8" i="6"/>
  <c r="C7" i="6"/>
  <c r="C6" i="6"/>
  <c r="C5" i="6"/>
  <c r="D9" i="7" l="1"/>
  <c r="E9" i="7" s="1"/>
  <c r="B9" i="7"/>
  <c r="D4" i="6"/>
  <c r="H17" i="12" l="1"/>
  <c r="G17" i="12"/>
  <c r="D17" i="12"/>
  <c r="C17" i="12"/>
  <c r="J16" i="12"/>
  <c r="I16" i="12"/>
  <c r="J15" i="12"/>
  <c r="I15" i="12"/>
  <c r="J14" i="12"/>
  <c r="I14" i="12"/>
  <c r="J13" i="12"/>
  <c r="I13" i="12"/>
  <c r="J12" i="12"/>
  <c r="I12" i="12"/>
  <c r="J11" i="12"/>
  <c r="I11" i="12"/>
  <c r="J10" i="12"/>
  <c r="I10" i="12"/>
  <c r="J9" i="12"/>
  <c r="I9" i="12"/>
  <c r="J8" i="12"/>
  <c r="I8" i="12"/>
  <c r="J7" i="12"/>
  <c r="I7" i="12"/>
  <c r="J6" i="12"/>
  <c r="I6" i="12"/>
  <c r="J5" i="12"/>
  <c r="I5" i="12"/>
  <c r="H17" i="11"/>
  <c r="G17" i="11"/>
  <c r="D17" i="11"/>
  <c r="C17" i="11"/>
  <c r="J16" i="11"/>
  <c r="I16" i="11"/>
  <c r="J15" i="11"/>
  <c r="I15" i="11"/>
  <c r="J14" i="11"/>
  <c r="I14" i="11"/>
  <c r="J13" i="11"/>
  <c r="I13" i="11"/>
  <c r="J12" i="11"/>
  <c r="I12" i="11"/>
  <c r="J11" i="11"/>
  <c r="I11" i="11"/>
  <c r="J10" i="11"/>
  <c r="I10" i="11"/>
  <c r="J9" i="11"/>
  <c r="I9" i="11"/>
  <c r="J8" i="11"/>
  <c r="I8" i="11"/>
  <c r="J7" i="11"/>
  <c r="I7" i="11"/>
  <c r="J6" i="11"/>
  <c r="I6" i="11"/>
  <c r="J5" i="11"/>
  <c r="I5" i="11"/>
  <c r="H17" i="10"/>
  <c r="G17" i="10"/>
  <c r="D17" i="10"/>
  <c r="C17" i="10"/>
  <c r="H17" i="9"/>
  <c r="G17" i="9"/>
  <c r="D17" i="9"/>
  <c r="C17" i="9"/>
  <c r="J16" i="9"/>
  <c r="I16" i="9"/>
  <c r="J15" i="9"/>
  <c r="I15" i="9"/>
  <c r="J14" i="9"/>
  <c r="I14" i="9"/>
  <c r="J13" i="9"/>
  <c r="I13" i="9"/>
  <c r="J12" i="9"/>
  <c r="I12" i="9"/>
  <c r="J11" i="9"/>
  <c r="I11" i="9"/>
  <c r="J10" i="9"/>
  <c r="I10" i="9"/>
  <c r="J9" i="9"/>
  <c r="I9" i="9"/>
  <c r="J8" i="9"/>
  <c r="I8" i="9"/>
  <c r="J7" i="9"/>
  <c r="I7" i="9"/>
  <c r="J6" i="9"/>
  <c r="I6" i="9"/>
  <c r="J5" i="9"/>
  <c r="I5" i="9"/>
  <c r="H17" i="8"/>
  <c r="G17" i="8"/>
  <c r="D17" i="8"/>
  <c r="C17" i="8"/>
  <c r="J16" i="8"/>
  <c r="I16" i="8"/>
  <c r="J15" i="8"/>
  <c r="I15" i="8"/>
  <c r="J14" i="8"/>
  <c r="I14" i="8"/>
  <c r="J13" i="8"/>
  <c r="I13" i="8"/>
  <c r="J12" i="8"/>
  <c r="I12" i="8"/>
  <c r="J11" i="8"/>
  <c r="I11" i="8"/>
  <c r="J10" i="8"/>
  <c r="I10" i="8"/>
  <c r="J9" i="8"/>
  <c r="I9" i="8"/>
  <c r="J8" i="8"/>
  <c r="I8" i="8"/>
  <c r="J7" i="8"/>
  <c r="I7" i="8"/>
  <c r="J6" i="8"/>
  <c r="I6" i="8"/>
  <c r="J5" i="8"/>
  <c r="I5" i="8"/>
  <c r="G8" i="15"/>
  <c r="F8" i="15"/>
  <c r="C8" i="15"/>
  <c r="B8" i="15"/>
  <c r="G7" i="15"/>
  <c r="F7" i="15"/>
  <c r="C7" i="15"/>
  <c r="B7" i="15"/>
  <c r="G6" i="15"/>
  <c r="F6" i="15"/>
  <c r="C6" i="15"/>
  <c r="B6" i="15"/>
  <c r="G5" i="15"/>
  <c r="F5" i="15"/>
  <c r="C5" i="15"/>
  <c r="B5" i="15"/>
  <c r="G4" i="15"/>
  <c r="F4" i="15"/>
  <c r="C4" i="15"/>
  <c r="B4" i="15"/>
  <c r="G8" i="7"/>
  <c r="F8" i="7"/>
  <c r="G7" i="7"/>
  <c r="F7" i="7"/>
  <c r="G5" i="7"/>
  <c r="F5" i="7"/>
  <c r="G4" i="7"/>
  <c r="F4" i="7"/>
  <c r="I10" i="6"/>
  <c r="H10" i="6"/>
  <c r="G10" i="6"/>
  <c r="F10" i="6"/>
  <c r="B10" i="6"/>
  <c r="I8" i="6"/>
  <c r="H8" i="6"/>
  <c r="B8" i="6"/>
  <c r="I7" i="6"/>
  <c r="H7" i="6"/>
  <c r="B7" i="6"/>
  <c r="I6" i="6"/>
  <c r="H6" i="6"/>
  <c r="B6" i="6"/>
  <c r="I5" i="6"/>
  <c r="H5" i="6"/>
  <c r="B5" i="6"/>
  <c r="I4" i="6"/>
  <c r="H4" i="6"/>
  <c r="V22" i="16"/>
  <c r="V21" i="16"/>
  <c r="V20" i="16"/>
  <c r="X13" i="16"/>
  <c r="Z2" i="16"/>
  <c r="C5" i="7"/>
  <c r="C6" i="16" l="1"/>
  <c r="C10" i="15"/>
  <c r="G10" i="15"/>
  <c r="B10" i="15"/>
  <c r="H17" i="16"/>
  <c r="L6" i="16"/>
  <c r="D7" i="6"/>
  <c r="E7" i="6" s="1"/>
  <c r="F11" i="6"/>
  <c r="F10" i="15"/>
  <c r="D7" i="15"/>
  <c r="E7" i="15" s="1"/>
  <c r="B11" i="6"/>
  <c r="H11" i="6"/>
  <c r="I17" i="8"/>
  <c r="I17" i="9"/>
  <c r="I17" i="11"/>
  <c r="I17" i="12"/>
  <c r="K7" i="16"/>
  <c r="C11" i="6"/>
  <c r="I11" i="6"/>
  <c r="J17" i="11"/>
  <c r="J17" i="12"/>
  <c r="G11" i="6"/>
  <c r="N32" i="5"/>
  <c r="N35" i="5"/>
  <c r="V12" i="16"/>
  <c r="W11" i="16"/>
  <c r="Y10" i="16"/>
  <c r="Y12" i="16"/>
  <c r="Y11" i="16"/>
  <c r="W10" i="16"/>
  <c r="Z9" i="16"/>
  <c r="U9" i="16"/>
  <c r="V8" i="16"/>
  <c r="W7" i="16"/>
  <c r="Y6" i="16"/>
  <c r="U12" i="16"/>
  <c r="U11" i="16"/>
  <c r="U10" i="16"/>
  <c r="W9" i="16"/>
  <c r="W8" i="16"/>
  <c r="V7" i="16"/>
  <c r="V6" i="16"/>
  <c r="Z12" i="16"/>
  <c r="Y9" i="16"/>
  <c r="Y8" i="16"/>
  <c r="Y7" i="16"/>
  <c r="W6" i="16"/>
  <c r="D4" i="15"/>
  <c r="M17" i="16"/>
  <c r="I17" i="16"/>
  <c r="E17" i="16"/>
  <c r="M16" i="16"/>
  <c r="I16" i="16"/>
  <c r="E16" i="16"/>
  <c r="M15" i="16"/>
  <c r="I15" i="16"/>
  <c r="E15" i="16"/>
  <c r="M14" i="16"/>
  <c r="I14" i="16"/>
  <c r="E14" i="16"/>
  <c r="K13" i="16"/>
  <c r="G13" i="16"/>
  <c r="C13" i="16"/>
  <c r="P12" i="16"/>
  <c r="L12" i="16"/>
  <c r="H12" i="16"/>
  <c r="M11" i="16"/>
  <c r="I11" i="16"/>
  <c r="E11" i="16"/>
  <c r="N10" i="16"/>
  <c r="J10" i="16"/>
  <c r="P17" i="16"/>
  <c r="K17" i="16"/>
  <c r="F17" i="16"/>
  <c r="P16" i="16"/>
  <c r="K16" i="16"/>
  <c r="F16" i="16"/>
  <c r="P15" i="16"/>
  <c r="K15" i="16"/>
  <c r="P14" i="16"/>
  <c r="K14" i="16"/>
  <c r="L13" i="16"/>
  <c r="F13" i="16"/>
  <c r="K12" i="16"/>
  <c r="F12" i="16"/>
  <c r="P11" i="16"/>
  <c r="K11" i="16"/>
  <c r="F11" i="16"/>
  <c r="P10" i="16"/>
  <c r="K10" i="16"/>
  <c r="F10" i="16"/>
  <c r="K9" i="16"/>
  <c r="G9" i="16"/>
  <c r="C9" i="16"/>
  <c r="P8" i="16"/>
  <c r="L8" i="16"/>
  <c r="H8" i="16"/>
  <c r="D8" i="16"/>
  <c r="M7" i="16"/>
  <c r="I7" i="16"/>
  <c r="E7" i="16"/>
  <c r="N6" i="16"/>
  <c r="J6" i="16"/>
  <c r="F6" i="16"/>
  <c r="L17" i="16"/>
  <c r="D17" i="16"/>
  <c r="N16" i="16"/>
  <c r="G16" i="16"/>
  <c r="H15" i="16"/>
  <c r="J14" i="16"/>
  <c r="C14" i="16"/>
  <c r="M13" i="16"/>
  <c r="E13" i="16"/>
  <c r="M12" i="16"/>
  <c r="E12" i="16"/>
  <c r="L11" i="16"/>
  <c r="L10" i="16"/>
  <c r="E10" i="16"/>
  <c r="P9" i="16"/>
  <c r="J9" i="16"/>
  <c r="E9" i="16"/>
  <c r="J8" i="16"/>
  <c r="E8" i="16"/>
  <c r="J7" i="16"/>
  <c r="D7" i="16"/>
  <c r="I6" i="16"/>
  <c r="D6" i="16"/>
  <c r="G17" i="16"/>
  <c r="L16" i="16"/>
  <c r="C16" i="16"/>
  <c r="J15" i="16"/>
  <c r="G14" i="16"/>
  <c r="J13" i="16"/>
  <c r="N12" i="16"/>
  <c r="C12" i="16"/>
  <c r="G11" i="16"/>
  <c r="H10" i="16"/>
  <c r="N9" i="16"/>
  <c r="H9" i="16"/>
  <c r="N8" i="16"/>
  <c r="G8" i="16"/>
  <c r="N7" i="16"/>
  <c r="G7" i="16"/>
  <c r="M6" i="16"/>
  <c r="G6" i="16"/>
  <c r="L15" i="12"/>
  <c r="L13" i="12"/>
  <c r="L11" i="12"/>
  <c r="L9" i="12"/>
  <c r="L7" i="12"/>
  <c r="L16" i="12"/>
  <c r="L14" i="12"/>
  <c r="L12" i="12"/>
  <c r="L10" i="12"/>
  <c r="L8" i="12"/>
  <c r="L6" i="12"/>
  <c r="M3" i="5"/>
  <c r="I3" i="5"/>
  <c r="E3" i="5"/>
  <c r="K16" i="12"/>
  <c r="K15" i="12"/>
  <c r="K14" i="12"/>
  <c r="K13" i="12"/>
  <c r="K12" i="12"/>
  <c r="K11" i="12"/>
  <c r="K10" i="12"/>
  <c r="K9" i="12"/>
  <c r="K8" i="12"/>
  <c r="K7" i="12"/>
  <c r="K6" i="12"/>
  <c r="K3" i="5"/>
  <c r="G3" i="5"/>
  <c r="C3" i="5"/>
  <c r="F3" i="5"/>
  <c r="D8" i="7"/>
  <c r="E8" i="7" s="1"/>
  <c r="L3" i="5"/>
  <c r="D3" i="5"/>
  <c r="J3" i="5"/>
  <c r="B3" i="5"/>
  <c r="H3" i="5"/>
  <c r="B8" i="7"/>
  <c r="F16" i="8"/>
  <c r="L16" i="8" s="1"/>
  <c r="L14" i="8"/>
  <c r="L12" i="8"/>
  <c r="L10" i="8"/>
  <c r="L8" i="8"/>
  <c r="L6" i="8"/>
  <c r="L15" i="8"/>
  <c r="L11" i="8"/>
  <c r="L7" i="8"/>
  <c r="E15" i="8"/>
  <c r="K15" i="8" s="1"/>
  <c r="E14" i="8"/>
  <c r="K14" i="8" s="1"/>
  <c r="E11" i="8"/>
  <c r="K11" i="8" s="1"/>
  <c r="E10" i="8"/>
  <c r="K10" i="8" s="1"/>
  <c r="E7" i="8"/>
  <c r="K7" i="8" s="1"/>
  <c r="E6" i="8"/>
  <c r="K6" i="8" s="1"/>
  <c r="L13" i="8"/>
  <c r="L9" i="8"/>
  <c r="E16" i="8"/>
  <c r="K16" i="8" s="1"/>
  <c r="E13" i="8"/>
  <c r="K13" i="8" s="1"/>
  <c r="D4" i="7"/>
  <c r="E8" i="8"/>
  <c r="K8" i="8" s="1"/>
  <c r="E12" i="8"/>
  <c r="K12" i="8" s="1"/>
  <c r="B4" i="7"/>
  <c r="E9" i="8"/>
  <c r="K9" i="8" s="1"/>
  <c r="J16" i="10"/>
  <c r="J14" i="10"/>
  <c r="J12" i="10"/>
  <c r="J10" i="10"/>
  <c r="J8" i="10"/>
  <c r="J6" i="10"/>
  <c r="J15" i="10"/>
  <c r="J13" i="10"/>
  <c r="J11" i="10"/>
  <c r="J9" i="10"/>
  <c r="J7" i="10"/>
  <c r="J5" i="10"/>
  <c r="I14" i="10"/>
  <c r="I10" i="10"/>
  <c r="I6" i="10"/>
  <c r="I15" i="10"/>
  <c r="I11" i="10"/>
  <c r="I7" i="10"/>
  <c r="I16" i="10"/>
  <c r="I12" i="10"/>
  <c r="I8" i="10"/>
  <c r="G6" i="7"/>
  <c r="I9" i="10"/>
  <c r="I13" i="10"/>
  <c r="F6" i="7"/>
  <c r="I5" i="10"/>
  <c r="K30" i="5"/>
  <c r="E6" i="16"/>
  <c r="P6" i="16"/>
  <c r="C7" i="16"/>
  <c r="L7" i="16"/>
  <c r="K8" i="16"/>
  <c r="U8" i="16"/>
  <c r="I9" i="16"/>
  <c r="G10" i="16"/>
  <c r="V10" i="16"/>
  <c r="J11" i="16"/>
  <c r="Z11" i="16"/>
  <c r="H13" i="16"/>
  <c r="H14" i="16"/>
  <c r="D15" i="16"/>
  <c r="J17" i="16"/>
  <c r="J33" i="5"/>
  <c r="F33" i="5"/>
  <c r="B33" i="5"/>
  <c r="M33" i="5"/>
  <c r="I33" i="5"/>
  <c r="E33" i="5"/>
  <c r="L33" i="5"/>
  <c r="H33" i="5"/>
  <c r="D33" i="5"/>
  <c r="G33" i="5"/>
  <c r="C33" i="5"/>
  <c r="K33" i="5"/>
  <c r="H6" i="16"/>
  <c r="F7" i="16"/>
  <c r="P7" i="16"/>
  <c r="C8" i="16"/>
  <c r="M8" i="16"/>
  <c r="Z8" i="16"/>
  <c r="L9" i="16"/>
  <c r="V9" i="16"/>
  <c r="I10" i="16"/>
  <c r="Z10" i="16"/>
  <c r="N11" i="16"/>
  <c r="G12" i="16"/>
  <c r="I13" i="16"/>
  <c r="L14" i="16"/>
  <c r="G15" i="16"/>
  <c r="D16" i="16"/>
  <c r="N17" i="16"/>
  <c r="I8" i="16"/>
  <c r="L16" i="9"/>
  <c r="L14" i="9"/>
  <c r="L15" i="9"/>
  <c r="L13" i="9"/>
  <c r="L11" i="9"/>
  <c r="L9" i="9"/>
  <c r="L7" i="9"/>
  <c r="L12" i="9"/>
  <c r="L8" i="9"/>
  <c r="E12" i="9"/>
  <c r="K12" i="9" s="1"/>
  <c r="E11" i="9"/>
  <c r="K11" i="9" s="1"/>
  <c r="E8" i="9"/>
  <c r="K8" i="9" s="1"/>
  <c r="E7" i="9"/>
  <c r="K7" i="9" s="1"/>
  <c r="L10" i="9"/>
  <c r="L6" i="9"/>
  <c r="E14" i="9"/>
  <c r="K14" i="9" s="1"/>
  <c r="B5" i="7"/>
  <c r="E15" i="9"/>
  <c r="K15" i="9" s="1"/>
  <c r="E5" i="9"/>
  <c r="E16" i="9"/>
  <c r="K16" i="9" s="1"/>
  <c r="E9" i="9"/>
  <c r="K9" i="9" s="1"/>
  <c r="E6" i="9"/>
  <c r="K6" i="9" s="1"/>
  <c r="D5" i="7"/>
  <c r="E5" i="7" s="1"/>
  <c r="E10" i="9"/>
  <c r="K10" i="9" s="1"/>
  <c r="E13" i="9"/>
  <c r="K13" i="9" s="1"/>
  <c r="J31" i="5"/>
  <c r="F31" i="5"/>
  <c r="B31" i="5"/>
  <c r="J7" i="5"/>
  <c r="F7" i="5"/>
  <c r="B7" i="5"/>
  <c r="K4" i="5"/>
  <c r="G4" i="5"/>
  <c r="C4" i="5"/>
  <c r="L31" i="5"/>
  <c r="H31" i="5"/>
  <c r="D31" i="5"/>
  <c r="L7" i="5"/>
  <c r="H7" i="5"/>
  <c r="D7" i="5"/>
  <c r="M4" i="5"/>
  <c r="I4" i="5"/>
  <c r="E4" i="5"/>
  <c r="K31" i="5"/>
  <c r="C31" i="5"/>
  <c r="G7" i="5"/>
  <c r="H4" i="5"/>
  <c r="I31" i="5"/>
  <c r="M7" i="5"/>
  <c r="E7" i="5"/>
  <c r="F4" i="5"/>
  <c r="G31" i="5"/>
  <c r="K7" i="5"/>
  <c r="C7" i="5"/>
  <c r="L4" i="5"/>
  <c r="D4" i="5"/>
  <c r="M31" i="5"/>
  <c r="I7" i="5"/>
  <c r="E31" i="5"/>
  <c r="J4" i="5"/>
  <c r="B4" i="5"/>
  <c r="E13" i="10"/>
  <c r="E9" i="10"/>
  <c r="E5" i="10"/>
  <c r="E14" i="10"/>
  <c r="E10" i="10"/>
  <c r="E6" i="10"/>
  <c r="E15" i="10"/>
  <c r="E11" i="10"/>
  <c r="E7" i="10"/>
  <c r="B6" i="7"/>
  <c r="E8" i="10"/>
  <c r="E12" i="10"/>
  <c r="E16" i="10"/>
  <c r="D6" i="7"/>
  <c r="E6" i="7" s="1"/>
  <c r="L16" i="11"/>
  <c r="L14" i="11"/>
  <c r="L12" i="11"/>
  <c r="L10" i="11"/>
  <c r="L8" i="11"/>
  <c r="L6" i="11"/>
  <c r="L15" i="11"/>
  <c r="L13" i="11"/>
  <c r="L11" i="11"/>
  <c r="L9" i="11"/>
  <c r="L7" i="11"/>
  <c r="E16" i="11"/>
  <c r="K16" i="11" s="1"/>
  <c r="E15" i="11"/>
  <c r="K15" i="11" s="1"/>
  <c r="E14" i="11"/>
  <c r="K14" i="11" s="1"/>
  <c r="E13" i="11"/>
  <c r="K13" i="11" s="1"/>
  <c r="E12" i="11"/>
  <c r="K12" i="11" s="1"/>
  <c r="E11" i="11"/>
  <c r="K11" i="11" s="1"/>
  <c r="E10" i="11"/>
  <c r="K10" i="11" s="1"/>
  <c r="E9" i="11"/>
  <c r="K9" i="11" s="1"/>
  <c r="E8" i="11"/>
  <c r="K8" i="11" s="1"/>
  <c r="E7" i="11"/>
  <c r="K7" i="11" s="1"/>
  <c r="E6" i="11"/>
  <c r="K6" i="11" s="1"/>
  <c r="E5" i="11"/>
  <c r="D7" i="7"/>
  <c r="E7" i="7" s="1"/>
  <c r="B7" i="7"/>
  <c r="L34" i="5"/>
  <c r="H34" i="5"/>
  <c r="D34" i="5"/>
  <c r="K34" i="5"/>
  <c r="G34" i="5"/>
  <c r="C34" i="5"/>
  <c r="J34" i="5"/>
  <c r="F34" i="5"/>
  <c r="B34" i="5"/>
  <c r="I34" i="5"/>
  <c r="E34" i="5"/>
  <c r="K6" i="16"/>
  <c r="U6" i="16"/>
  <c r="H7" i="16"/>
  <c r="F8" i="16"/>
  <c r="D9" i="16"/>
  <c r="M9" i="16"/>
  <c r="C10" i="16"/>
  <c r="M10" i="16"/>
  <c r="C11" i="16"/>
  <c r="I12" i="16"/>
  <c r="W12" i="16"/>
  <c r="N13" i="16"/>
  <c r="N14" i="16"/>
  <c r="L15" i="16"/>
  <c r="H16" i="16"/>
  <c r="C17" i="16"/>
  <c r="U7" i="16"/>
  <c r="F9" i="16"/>
  <c r="H11" i="16"/>
  <c r="V11" i="16"/>
  <c r="J12" i="16"/>
  <c r="D13" i="16"/>
  <c r="P13" i="16"/>
  <c r="C15" i="16"/>
  <c r="N15" i="16"/>
  <c r="J16" i="16"/>
  <c r="M34" i="5"/>
  <c r="D16" i="4"/>
  <c r="D14" i="4"/>
  <c r="D12" i="4"/>
  <c r="D10" i="4"/>
  <c r="D8" i="4"/>
  <c r="D6" i="4"/>
  <c r="D15" i="4"/>
  <c r="C13" i="4"/>
  <c r="C10" i="4"/>
  <c r="D7" i="4"/>
  <c r="D17" i="4"/>
  <c r="C15" i="4"/>
  <c r="C12" i="4"/>
  <c r="D9" i="4"/>
  <c r="C7" i="4"/>
  <c r="C17" i="4"/>
  <c r="C14" i="4"/>
  <c r="D11" i="4"/>
  <c r="C9" i="4"/>
  <c r="C6" i="4"/>
  <c r="D13" i="4"/>
  <c r="C11" i="4"/>
  <c r="C8" i="4"/>
  <c r="C16" i="4"/>
  <c r="D10" i="6"/>
  <c r="E10" i="6" s="1"/>
  <c r="L30" i="5"/>
  <c r="H30" i="5"/>
  <c r="D30" i="5"/>
  <c r="J30" i="5"/>
  <c r="F30" i="5"/>
  <c r="B30" i="5"/>
  <c r="I30" i="5"/>
  <c r="G30" i="5"/>
  <c r="M30" i="5"/>
  <c r="E30" i="5"/>
  <c r="C30" i="5"/>
  <c r="J17" i="9"/>
  <c r="J17" i="8"/>
  <c r="D10" i="16" l="1"/>
  <c r="R10" i="16" s="1"/>
  <c r="D11" i="16"/>
  <c r="R11" i="16" s="1"/>
  <c r="K16" i="10"/>
  <c r="K6" i="10"/>
  <c r="K9" i="10"/>
  <c r="K11" i="10"/>
  <c r="K8" i="10"/>
  <c r="K14" i="10"/>
  <c r="K15" i="10"/>
  <c r="K7" i="10"/>
  <c r="K10" i="10"/>
  <c r="K12" i="10"/>
  <c r="K13" i="10"/>
  <c r="J5" i="5"/>
  <c r="J6" i="5" s="1"/>
  <c r="K5" i="5"/>
  <c r="K6" i="5" s="1"/>
  <c r="D5" i="5"/>
  <c r="D6" i="5" s="1"/>
  <c r="G36" i="5"/>
  <c r="H36" i="5"/>
  <c r="Q15" i="16"/>
  <c r="Q10" i="16"/>
  <c r="P19" i="16"/>
  <c r="F10" i="7"/>
  <c r="E5" i="5"/>
  <c r="E6" i="5" s="1"/>
  <c r="M19" i="16"/>
  <c r="Q14" i="16"/>
  <c r="L19" i="16"/>
  <c r="L12" i="10"/>
  <c r="L7" i="10"/>
  <c r="L15" i="10"/>
  <c r="G10" i="7"/>
  <c r="L6" i="10"/>
  <c r="L14" i="10"/>
  <c r="L9" i="10"/>
  <c r="L10" i="10"/>
  <c r="L13" i="10"/>
  <c r="M36" i="5"/>
  <c r="F36" i="5"/>
  <c r="L36" i="5"/>
  <c r="I36" i="5"/>
  <c r="Q16" i="16"/>
  <c r="N33" i="5"/>
  <c r="U13" i="16"/>
  <c r="L8" i="10"/>
  <c r="L16" i="10"/>
  <c r="L11" i="10"/>
  <c r="N31" i="5"/>
  <c r="H19" i="16"/>
  <c r="E19" i="16"/>
  <c r="J17" i="10"/>
  <c r="C10" i="7"/>
  <c r="H5" i="5"/>
  <c r="H6" i="5" s="1"/>
  <c r="L5" i="5"/>
  <c r="L6" i="5" s="1"/>
  <c r="C5" i="5"/>
  <c r="C6" i="5" s="1"/>
  <c r="I5" i="5"/>
  <c r="I6" i="5" s="1"/>
  <c r="I19" i="16"/>
  <c r="J19" i="16"/>
  <c r="Q13" i="16"/>
  <c r="D36" i="5"/>
  <c r="Q11" i="16"/>
  <c r="R9" i="16"/>
  <c r="K19" i="16"/>
  <c r="N34" i="5"/>
  <c r="N7" i="5"/>
  <c r="R16" i="16"/>
  <c r="Q8" i="16"/>
  <c r="K36" i="5"/>
  <c r="B10" i="7"/>
  <c r="G5" i="5"/>
  <c r="G6" i="5" s="1"/>
  <c r="M5" i="5"/>
  <c r="M6" i="5" s="1"/>
  <c r="Q12" i="16"/>
  <c r="O19" i="16"/>
  <c r="R17" i="16"/>
  <c r="N19" i="16"/>
  <c r="R8" i="16"/>
  <c r="Q9" i="16"/>
  <c r="V13" i="16"/>
  <c r="C36" i="5"/>
  <c r="J36" i="5"/>
  <c r="C18" i="4"/>
  <c r="E36" i="5"/>
  <c r="D18" i="4"/>
  <c r="R13" i="16"/>
  <c r="Q17" i="16"/>
  <c r="Q7" i="16"/>
  <c r="I17" i="10"/>
  <c r="F5" i="5"/>
  <c r="F6" i="5" s="1"/>
  <c r="G19" i="16"/>
  <c r="R7" i="16"/>
  <c r="W13" i="16"/>
  <c r="Y13" i="16"/>
  <c r="B36" i="5"/>
  <c r="N30" i="5"/>
  <c r="K5" i="11"/>
  <c r="K17" i="11" s="1"/>
  <c r="E17" i="11"/>
  <c r="F17" i="11"/>
  <c r="L5" i="11"/>
  <c r="L17" i="11" s="1"/>
  <c r="E17" i="10"/>
  <c r="K5" i="10"/>
  <c r="L5" i="10"/>
  <c r="F17" i="10"/>
  <c r="N4" i="5"/>
  <c r="K5" i="9"/>
  <c r="K17" i="9" s="1"/>
  <c r="E17" i="9"/>
  <c r="F17" i="9"/>
  <c r="L5" i="9"/>
  <c r="L17" i="9" s="1"/>
  <c r="C19" i="16"/>
  <c r="Q6" i="16"/>
  <c r="E17" i="8"/>
  <c r="K5" i="8"/>
  <c r="K17" i="8" s="1"/>
  <c r="D10" i="7"/>
  <c r="E4" i="7"/>
  <c r="E10" i="7" s="1"/>
  <c r="F17" i="8"/>
  <c r="L5" i="8"/>
  <c r="L17" i="8" s="1"/>
  <c r="B5" i="5"/>
  <c r="B6" i="5" s="1"/>
  <c r="N3" i="5"/>
  <c r="E17" i="12"/>
  <c r="K5" i="12"/>
  <c r="K17" i="12" s="1"/>
  <c r="L5" i="12"/>
  <c r="L17" i="12" s="1"/>
  <c r="F17" i="12"/>
  <c r="R6" i="16"/>
  <c r="E4" i="15"/>
  <c r="K17" i="10" l="1"/>
  <c r="M20" i="16"/>
  <c r="L17" i="10"/>
  <c r="G20" i="16"/>
  <c r="O20" i="16"/>
  <c r="K20" i="16"/>
  <c r="E20" i="16"/>
  <c r="I20" i="16"/>
  <c r="N5" i="5"/>
  <c r="O3" i="5" s="1"/>
  <c r="C20" i="16"/>
  <c r="Q19" i="16"/>
  <c r="N36" i="5"/>
  <c r="O31" i="5" s="1"/>
  <c r="O33" i="5" l="1"/>
  <c r="O32" i="5"/>
  <c r="O35" i="5"/>
  <c r="O34" i="5"/>
  <c r="O4" i="5"/>
  <c r="O5" i="5" s="1"/>
  <c r="O6" i="5" s="1"/>
  <c r="Q20" i="16"/>
  <c r="O30" i="5"/>
  <c r="O36" i="5" l="1"/>
  <c r="T1010" i="2"/>
  <c r="V1010" i="2" s="1"/>
  <c r="V1040" i="2" l="1"/>
  <c r="D12" i="16"/>
  <c r="R12" i="16" l="1"/>
  <c r="T1293" i="2" l="1"/>
  <c r="V1293" i="2" s="1"/>
  <c r="T1300" i="2"/>
  <c r="V1300" i="2" s="1"/>
  <c r="T1304" i="2"/>
  <c r="V1304" i="2" s="1"/>
  <c r="T1299" i="2"/>
  <c r="V1299" i="2" s="1"/>
  <c r="T1297" i="2"/>
  <c r="V1297" i="2" s="1"/>
  <c r="T1294" i="2"/>
  <c r="V1294" i="2" s="1"/>
  <c r="T1296" i="2"/>
  <c r="V1296" i="2" s="1"/>
  <c r="T1298" i="2"/>
  <c r="V1298" i="2" s="1"/>
  <c r="T1295" i="2"/>
  <c r="V1295" i="2" s="1"/>
  <c r="T1303" i="2"/>
  <c r="V1303" i="2" s="1"/>
  <c r="T1301" i="2"/>
  <c r="V1301" i="2" s="1"/>
  <c r="T1292" i="2"/>
  <c r="V1292" i="2" s="1"/>
  <c r="F15" i="16" s="1"/>
  <c r="R15" i="16" s="1"/>
  <c r="T1302" i="2"/>
  <c r="V1302" i="2" s="1"/>
  <c r="T1291" i="2"/>
  <c r="V1291" i="2" s="1"/>
  <c r="D9" i="15" l="1"/>
  <c r="E9" i="15" s="1"/>
  <c r="D9" i="6"/>
  <c r="E9" i="6" s="1"/>
  <c r="D6" i="15"/>
  <c r="E6" i="15" s="1"/>
  <c r="D6" i="6"/>
  <c r="E6" i="6" s="1"/>
  <c r="D5" i="6"/>
  <c r="E5" i="6" s="1"/>
  <c r="D5" i="15"/>
  <c r="E5" i="15" s="1"/>
  <c r="F14" i="16"/>
  <c r="F19" i="16" s="1"/>
  <c r="Z7" i="16"/>
  <c r="U17" i="16"/>
  <c r="V17" i="16" l="1"/>
  <c r="U18" i="16" l="1"/>
  <c r="V18" i="16" s="1"/>
  <c r="V1372" i="2"/>
  <c r="D8" i="15" l="1"/>
  <c r="D8" i="6"/>
  <c r="D14" i="16"/>
  <c r="Z6" i="16"/>
  <c r="Z13" i="16" s="1"/>
  <c r="U19" i="16"/>
  <c r="V19" i="16" s="1"/>
  <c r="D11" i="6" l="1"/>
  <c r="E8" i="6"/>
  <c r="E11" i="6" s="1"/>
  <c r="D10" i="15"/>
  <c r="E8" i="15"/>
  <c r="E10" i="15" s="1"/>
  <c r="D19" i="16"/>
  <c r="R14" i="16"/>
  <c r="H20" i="16" l="1"/>
  <c r="N20" i="16"/>
  <c r="D20" i="16"/>
  <c r="J20" i="16"/>
  <c r="F20" i="16"/>
  <c r="L20" i="16"/>
  <c r="R19" i="16"/>
  <c r="P20" i="16"/>
  <c r="R20" i="16" l="1"/>
</calcChain>
</file>

<file path=xl/sharedStrings.xml><?xml version="1.0" encoding="utf-8"?>
<sst xmlns="http://schemas.openxmlformats.org/spreadsheetml/2006/main" count="18595" uniqueCount="5658">
  <si>
    <t>Mon</t>
    <phoneticPr fontId="3" type="noConversion"/>
  </si>
  <si>
    <t>수리완료
ww</t>
    <phoneticPr fontId="3" type="noConversion"/>
  </si>
  <si>
    <t>Requester</t>
  </si>
  <si>
    <t>입고일</t>
  </si>
  <si>
    <t>수리완료일</t>
  </si>
  <si>
    <t>Line</t>
  </si>
  <si>
    <t>Divisoin</t>
  </si>
  <si>
    <t>Team</t>
  </si>
  <si>
    <t>Process</t>
  </si>
  <si>
    <t>Model</t>
  </si>
  <si>
    <t>Board Name</t>
  </si>
  <si>
    <t>증 상/조치</t>
  </si>
  <si>
    <t>S/N</t>
  </si>
  <si>
    <t>Q'TY</t>
  </si>
  <si>
    <t>New B/D
Price(K\)</t>
    <phoneticPr fontId="3" type="noConversion"/>
  </si>
  <si>
    <t>자체/외주</t>
  </si>
  <si>
    <t>외주업체</t>
  </si>
  <si>
    <t>Repair
 Time(H)</t>
    <phoneticPr fontId="3" type="noConversion"/>
  </si>
  <si>
    <t>Engineer</t>
  </si>
  <si>
    <t>Mar</t>
    <phoneticPr fontId="3" type="noConversion"/>
  </si>
  <si>
    <t>Sep</t>
    <phoneticPr fontId="3" type="noConversion"/>
  </si>
  <si>
    <t>Jan</t>
    <phoneticPr fontId="3" type="noConversion"/>
  </si>
  <si>
    <t>Oct</t>
  </si>
  <si>
    <t>ATC</t>
    <phoneticPr fontId="3" type="noConversion"/>
  </si>
  <si>
    <t>ATP</t>
    <phoneticPr fontId="3" type="noConversion"/>
  </si>
  <si>
    <t>Nov</t>
    <phoneticPr fontId="3" type="noConversion"/>
  </si>
  <si>
    <t>Dec</t>
    <phoneticPr fontId="3" type="noConversion"/>
  </si>
  <si>
    <t>허준영</t>
    <phoneticPr fontId="3" type="noConversion"/>
  </si>
  <si>
    <t>ATM</t>
    <phoneticPr fontId="3" type="noConversion"/>
  </si>
  <si>
    <t>큐텍코리아</t>
    <phoneticPr fontId="3" type="noConversion"/>
  </si>
  <si>
    <t>장은철</t>
    <phoneticPr fontId="3" type="noConversion"/>
  </si>
  <si>
    <t>Other</t>
    <phoneticPr fontId="3" type="noConversion"/>
  </si>
  <si>
    <t>ATT</t>
    <phoneticPr fontId="3" type="noConversion"/>
  </si>
  <si>
    <t>강영구</t>
    <phoneticPr fontId="3" type="noConversion"/>
  </si>
  <si>
    <t>디에이테크</t>
    <phoneticPr fontId="3" type="noConversion"/>
  </si>
  <si>
    <t>Feb</t>
  </si>
  <si>
    <t>Feb</t>
    <phoneticPr fontId="3" type="noConversion"/>
  </si>
  <si>
    <t>Apr</t>
    <phoneticPr fontId="3" type="noConversion"/>
  </si>
  <si>
    <t>Mar</t>
  </si>
  <si>
    <t>씨맥스</t>
    <phoneticPr fontId="3" type="noConversion"/>
  </si>
  <si>
    <t>박병대</t>
    <phoneticPr fontId="3" type="noConversion"/>
  </si>
  <si>
    <t>Apr</t>
  </si>
  <si>
    <t>May</t>
  </si>
  <si>
    <t>인베닉스</t>
    <phoneticPr fontId="3" type="noConversion"/>
  </si>
  <si>
    <t>최준영</t>
    <phoneticPr fontId="3" type="noConversion"/>
  </si>
  <si>
    <t>Jun</t>
    <phoneticPr fontId="3" type="noConversion"/>
  </si>
  <si>
    <t>May</t>
    <phoneticPr fontId="3" type="noConversion"/>
  </si>
  <si>
    <t>Jun</t>
  </si>
  <si>
    <t>Jul</t>
    <phoneticPr fontId="3" type="noConversion"/>
  </si>
  <si>
    <t>Jul</t>
  </si>
  <si>
    <t>Aug</t>
    <phoneticPr fontId="3" type="noConversion"/>
  </si>
  <si>
    <t>Aug</t>
  </si>
  <si>
    <t>Sep</t>
  </si>
  <si>
    <t>Month</t>
    <phoneticPr fontId="11" type="noConversion"/>
  </si>
  <si>
    <t>ATK</t>
    <phoneticPr fontId="3" type="noConversion"/>
  </si>
  <si>
    <t>Total(Mon)</t>
    <phoneticPr fontId="3" type="noConversion"/>
  </si>
  <si>
    <t>Count</t>
    <phoneticPr fontId="3" type="noConversion"/>
  </si>
  <si>
    <t>Cost Save</t>
    <phoneticPr fontId="3" type="noConversion"/>
  </si>
  <si>
    <t>cost save</t>
    <phoneticPr fontId="3" type="noConversion"/>
  </si>
  <si>
    <t>Jan.</t>
    <phoneticPr fontId="3" type="noConversion"/>
  </si>
  <si>
    <t>Feb.</t>
    <phoneticPr fontId="3" type="noConversion"/>
  </si>
  <si>
    <t>Mar.</t>
    <phoneticPr fontId="3" type="noConversion"/>
  </si>
  <si>
    <t>Apr.</t>
    <phoneticPr fontId="3" type="noConversion"/>
  </si>
  <si>
    <t>Jun.</t>
    <phoneticPr fontId="3" type="noConversion"/>
  </si>
  <si>
    <t>Aug.</t>
    <phoneticPr fontId="3" type="noConversion"/>
  </si>
  <si>
    <t>Sep.</t>
    <phoneticPr fontId="3" type="noConversion"/>
  </si>
  <si>
    <t>Oct.</t>
    <phoneticPr fontId="3" type="noConversion"/>
  </si>
  <si>
    <t>Nov.</t>
    <phoneticPr fontId="3" type="noConversion"/>
  </si>
  <si>
    <t>Dec.</t>
    <phoneticPr fontId="3" type="noConversion"/>
  </si>
  <si>
    <t>Total(Site)</t>
    <phoneticPr fontId="3" type="noConversion"/>
  </si>
  <si>
    <t>Ratio(%)</t>
    <phoneticPr fontId="3" type="noConversion"/>
  </si>
  <si>
    <t>Ionizer Cumulative frequency graph</t>
    <phoneticPr fontId="3" type="noConversion"/>
  </si>
  <si>
    <t>Repair
Count</t>
    <phoneticPr fontId="3" type="noConversion"/>
  </si>
  <si>
    <r>
      <rPr>
        <b/>
        <sz val="11"/>
        <color theme="5" tint="-0.499984740745262"/>
        <rFont val="Arial"/>
        <family val="2"/>
      </rPr>
      <t>Cost Save</t>
    </r>
    <r>
      <rPr>
        <b/>
        <sz val="12"/>
        <color theme="5" tint="-0.499984740745262"/>
        <rFont val="Arial"/>
        <family val="2"/>
      </rPr>
      <t xml:space="preserve">
</t>
    </r>
    <r>
      <rPr>
        <b/>
        <sz val="9"/>
        <color theme="5" tint="-0.499984740745262"/>
        <rFont val="Arial"/>
        <family val="2"/>
      </rPr>
      <t>(Unit : KWon)</t>
    </r>
    <phoneticPr fontId="11" type="noConversion"/>
  </si>
  <si>
    <t>TOTAL</t>
    <phoneticPr fontId="3" type="noConversion"/>
  </si>
  <si>
    <t>Nov</t>
  </si>
  <si>
    <t>Dec</t>
  </si>
  <si>
    <t>Total</t>
    <phoneticPr fontId="3" type="noConversion"/>
  </si>
  <si>
    <t>자체수리</t>
    <phoneticPr fontId="3" type="noConversion"/>
  </si>
  <si>
    <t>외주수리</t>
    <phoneticPr fontId="3" type="noConversion"/>
  </si>
  <si>
    <t>총 합계(건수)</t>
    <phoneticPr fontId="3" type="noConversion"/>
  </si>
  <si>
    <t>외주수리율(%)</t>
    <phoneticPr fontId="3" type="noConversion"/>
  </si>
  <si>
    <t>외주비용(K\)</t>
    <phoneticPr fontId="3" type="noConversion"/>
  </si>
  <si>
    <t>Maker</t>
    <phoneticPr fontId="3" type="noConversion"/>
  </si>
  <si>
    <t>Weekly Performance</t>
    <phoneticPr fontId="3" type="noConversion"/>
  </si>
  <si>
    <t>Technical Support(Complete)</t>
    <phoneticPr fontId="3" type="noConversion"/>
  </si>
  <si>
    <t>(Ongoing)</t>
    <phoneticPr fontId="3" type="noConversion"/>
  </si>
  <si>
    <t>건수</t>
    <phoneticPr fontId="3" type="noConversion"/>
  </si>
  <si>
    <t>시간</t>
    <phoneticPr fontId="3" type="noConversion"/>
  </si>
  <si>
    <t>Cost Save(K\)</t>
    <phoneticPr fontId="3" type="noConversion"/>
  </si>
  <si>
    <t>Monthly Performance</t>
    <phoneticPr fontId="3" type="noConversion"/>
  </si>
  <si>
    <t>Technical Support</t>
    <phoneticPr fontId="3" type="noConversion"/>
  </si>
  <si>
    <t>Person Activity Summary</t>
    <phoneticPr fontId="3" type="noConversion"/>
  </si>
  <si>
    <t>Month</t>
    <phoneticPr fontId="3" type="noConversion"/>
  </si>
  <si>
    <t>Category</t>
    <phoneticPr fontId="3" type="noConversion"/>
  </si>
  <si>
    <t>TTL</t>
    <phoneticPr fontId="3" type="noConversion"/>
  </si>
  <si>
    <t>Project</t>
    <phoneticPr fontId="3" type="noConversion"/>
  </si>
  <si>
    <t>Overhaul</t>
    <phoneticPr fontId="3" type="noConversion"/>
  </si>
  <si>
    <t>Oct</t>
    <phoneticPr fontId="3" type="noConversion"/>
  </si>
  <si>
    <t>Factory</t>
    <phoneticPr fontId="3" type="noConversion"/>
  </si>
  <si>
    <t>Request
eBoard
(Q'ty)</t>
    <phoneticPr fontId="3" type="noConversion"/>
  </si>
  <si>
    <t>Repair
Success
(Q'ty)</t>
    <phoneticPr fontId="3" type="noConversion"/>
  </si>
  <si>
    <t>Repair
Impossible
(Q'ty)</t>
    <phoneticPr fontId="3" type="noConversion"/>
  </si>
  <si>
    <t>Return
Shipping
(Q'ty)</t>
    <phoneticPr fontId="3" type="noConversion"/>
  </si>
  <si>
    <t>Repair
Ongoing
(Q'ty)</t>
    <phoneticPr fontId="3" type="noConversion"/>
  </si>
  <si>
    <t>R&amp;M Cost Save
(K$)</t>
    <phoneticPr fontId="3" type="noConversion"/>
  </si>
  <si>
    <t>ATEP</t>
    <phoneticPr fontId="3" type="noConversion"/>
  </si>
  <si>
    <t>EXR</t>
    <phoneticPr fontId="3" type="noConversion"/>
  </si>
  <si>
    <t>Site</t>
    <phoneticPr fontId="3" type="noConversion"/>
  </si>
  <si>
    <t>Status</t>
    <phoneticPr fontId="3" type="noConversion"/>
  </si>
  <si>
    <t>Currency</t>
    <phoneticPr fontId="3" type="noConversion"/>
  </si>
  <si>
    <t>EXR (\/$):</t>
    <phoneticPr fontId="3" type="noConversion"/>
  </si>
  <si>
    <t>K$</t>
  </si>
  <si>
    <t>By Count</t>
    <phoneticPr fontId="3" type="noConversion"/>
  </si>
  <si>
    <t>AWW Report Form</t>
    <phoneticPr fontId="3" type="noConversion"/>
  </si>
  <si>
    <t>EE</t>
  </si>
  <si>
    <t>EE2</t>
  </si>
  <si>
    <t>장은철</t>
  </si>
  <si>
    <t>B</t>
  </si>
  <si>
    <t>2T3P</t>
  </si>
  <si>
    <t>최준영</t>
  </si>
  <si>
    <t>F</t>
  </si>
  <si>
    <t>자체</t>
  </si>
  <si>
    <t>외주</t>
  </si>
  <si>
    <t>큐텍코리아</t>
  </si>
  <si>
    <t>유창환</t>
  </si>
  <si>
    <t>APM MOLD</t>
  </si>
  <si>
    <t>A</t>
  </si>
  <si>
    <t>1T1P</t>
  </si>
  <si>
    <t>Booting Fail</t>
  </si>
  <si>
    <t>허준영</t>
  </si>
  <si>
    <t>1T4P</t>
  </si>
  <si>
    <t>C</t>
  </si>
  <si>
    <t>3T3P</t>
  </si>
  <si>
    <t>2T1P</t>
  </si>
  <si>
    <t>1T3P</t>
  </si>
  <si>
    <t>5T1P</t>
  </si>
  <si>
    <t>2T2P</t>
  </si>
  <si>
    <t>EE1</t>
  </si>
  <si>
    <t>G</t>
  </si>
  <si>
    <t>N/A</t>
  </si>
  <si>
    <t>ATP</t>
  </si>
  <si>
    <t>Bumping</t>
  </si>
  <si>
    <t>3T4P</t>
  </si>
  <si>
    <t>최준영</t>
    <phoneticPr fontId="3" type="noConversion"/>
  </si>
  <si>
    <t>이영석</t>
  </si>
  <si>
    <t>김재영</t>
  </si>
  <si>
    <t>IONIZER</t>
  </si>
  <si>
    <t>MONITOR</t>
  </si>
  <si>
    <t>Outsourcing Price</t>
    <phoneticPr fontId="3" type="noConversion"/>
  </si>
  <si>
    <t xml:space="preserve"> (K\)</t>
    <phoneticPr fontId="3" type="noConversion"/>
  </si>
  <si>
    <t>K$</t>
    <phoneticPr fontId="3" type="noConversion"/>
  </si>
  <si>
    <t>In-House Price</t>
    <phoneticPr fontId="3" type="noConversion"/>
  </si>
  <si>
    <t>Including Ongoing</t>
    <phoneticPr fontId="3" type="noConversion"/>
  </si>
  <si>
    <t>/ K$</t>
    <phoneticPr fontId="3" type="noConversion"/>
  </si>
  <si>
    <t>SMT</t>
  </si>
  <si>
    <t>최경철</t>
  </si>
  <si>
    <t>AC SERVO DRIVER</t>
  </si>
  <si>
    <t>TCNCP</t>
  </si>
  <si>
    <t>유완수</t>
  </si>
  <si>
    <t>김상권</t>
  </si>
  <si>
    <t>전원 안들어옴</t>
  </si>
  <si>
    <t>Monitor</t>
  </si>
  <si>
    <t>6K2</t>
  </si>
  <si>
    <t>Repair Cost
K$</t>
    <phoneticPr fontId="3" type="noConversion"/>
  </si>
  <si>
    <t>Outsourcing
 Price(K\)</t>
    <phoneticPr fontId="3" type="noConversion"/>
  </si>
  <si>
    <t>Cost
Reduction(K￦)</t>
    <phoneticPr fontId="3" type="noConversion"/>
  </si>
  <si>
    <t>Repair
Cost (K\)</t>
    <phoneticPr fontId="3" type="noConversion"/>
  </si>
  <si>
    <t>분류</t>
    <phoneticPr fontId="3" type="noConversion"/>
  </si>
  <si>
    <t>완료월</t>
    <phoneticPr fontId="3" type="noConversion"/>
  </si>
  <si>
    <t>*요청 수량기준</t>
    <phoneticPr fontId="3" type="noConversion"/>
  </si>
  <si>
    <t>*완료 건수기준</t>
    <phoneticPr fontId="3" type="noConversion"/>
  </si>
  <si>
    <t>Delivery</t>
    <phoneticPr fontId="3" type="noConversion"/>
  </si>
  <si>
    <t>P</t>
  </si>
  <si>
    <t>정기수</t>
    <phoneticPr fontId="3" type="noConversion"/>
  </si>
  <si>
    <t>정기수</t>
  </si>
  <si>
    <t>정기수</t>
    <phoneticPr fontId="3" type="noConversion"/>
  </si>
  <si>
    <t>Bump1</t>
  </si>
  <si>
    <t>기타</t>
    <phoneticPr fontId="3" type="noConversion"/>
  </si>
  <si>
    <t>SOIC</t>
  </si>
  <si>
    <t>DA Board</t>
  </si>
  <si>
    <t>Sway marking and Pitching Alignment problem.</t>
  </si>
  <si>
    <t xml:space="preserve">Sway marking and Unusual marking formation. </t>
  </si>
  <si>
    <t>EDA3+C10-09-179</t>
  </si>
  <si>
    <t>김선일</t>
  </si>
  <si>
    <t>Heater control</t>
  </si>
  <si>
    <t>김효천</t>
  </si>
  <si>
    <t>LED MONITOR</t>
  </si>
  <si>
    <t>ACP-2320MB</t>
  </si>
  <si>
    <t>오도일</t>
  </si>
  <si>
    <t>CONTOR 불량</t>
  </si>
  <si>
    <t>AL, EEE</t>
  </si>
  <si>
    <t>김전욱</t>
  </si>
  <si>
    <t>LS</t>
  </si>
  <si>
    <t>PLC CPU</t>
  </si>
  <si>
    <t>CNET I/F</t>
  </si>
  <si>
    <t>E9 ERROR</t>
  </si>
  <si>
    <t>IPI322</t>
  </si>
  <si>
    <t>이온값 불량</t>
  </si>
  <si>
    <t>이정렬</t>
  </si>
  <si>
    <t>2020 AAW E-Board Repair Count(Q'ty) &amp; Cost Reduction</t>
    <phoneticPr fontId="3" type="noConversion"/>
  </si>
  <si>
    <t>2020 e-board Repair Performance</t>
    <phoneticPr fontId="3" type="noConversion"/>
  </si>
  <si>
    <t>2020 Electric Board Repair Performance</t>
    <phoneticPr fontId="3" type="noConversion"/>
  </si>
  <si>
    <t>2020 Electric Board 외주수리업체별 현황</t>
    <phoneticPr fontId="3" type="noConversion"/>
  </si>
  <si>
    <t>김수호</t>
    <phoneticPr fontId="3" type="noConversion"/>
  </si>
  <si>
    <t>P</t>
    <phoneticPr fontId="3" type="noConversion"/>
  </si>
  <si>
    <t>1T1P</t>
    <phoneticPr fontId="3" type="noConversion"/>
  </si>
  <si>
    <t>MONITOR</t>
    <phoneticPr fontId="3" type="noConversion"/>
  </si>
  <si>
    <t>전원 안들어옴</t>
    <phoneticPr fontId="3" type="noConversion"/>
  </si>
  <si>
    <t>1T2P</t>
  </si>
  <si>
    <t>uvcontroller</t>
    <phoneticPr fontId="3" type="noConversion"/>
  </si>
  <si>
    <t xml:space="preserve">braker off 됨 on 시 </t>
    <phoneticPr fontId="3" type="noConversion"/>
  </si>
  <si>
    <t>강영구</t>
  </si>
  <si>
    <t>W/B/G</t>
    <phoneticPr fontId="3" type="noConversion"/>
  </si>
  <si>
    <t>AC SERVO</t>
    <phoneticPr fontId="3" type="noConversion"/>
  </si>
  <si>
    <t># ERROR 통신</t>
    <phoneticPr fontId="3" type="noConversion"/>
  </si>
  <si>
    <t>TCNCP</t>
    <phoneticPr fontId="3" type="noConversion"/>
  </si>
  <si>
    <t>김재영</t>
    <phoneticPr fontId="3" type="noConversion"/>
  </si>
  <si>
    <t>수리완료</t>
  </si>
  <si>
    <t>Vision B/D</t>
    <phoneticPr fontId="3" type="noConversion"/>
  </si>
  <si>
    <t>Vision 안보임</t>
    <phoneticPr fontId="3" type="noConversion"/>
  </si>
  <si>
    <t>이규한</t>
    <phoneticPr fontId="3" type="noConversion"/>
  </si>
  <si>
    <t>백윤덕</t>
    <phoneticPr fontId="3" type="noConversion"/>
  </si>
  <si>
    <t>한광식</t>
    <phoneticPr fontId="3" type="noConversion"/>
  </si>
  <si>
    <t>OPTIPLEX 780</t>
    <phoneticPr fontId="3" type="noConversion"/>
  </si>
  <si>
    <t>System PC</t>
    <phoneticPr fontId="3" type="noConversion"/>
  </si>
  <si>
    <t>N/A</t>
    <phoneticPr fontId="3" type="noConversion"/>
  </si>
  <si>
    <t>Power Supply Out</t>
    <phoneticPr fontId="3" type="noConversion"/>
  </si>
  <si>
    <t>SMART-1500</t>
    <phoneticPr fontId="3" type="noConversion"/>
  </si>
  <si>
    <t>5T2P</t>
  </si>
  <si>
    <t>UPS</t>
    <phoneticPr fontId="3" type="noConversion"/>
  </si>
  <si>
    <t>Battery Burn, Connector Broken</t>
    <phoneticPr fontId="3" type="noConversion"/>
  </si>
  <si>
    <t>LTM190ET01</t>
    <phoneticPr fontId="3" type="noConversion"/>
  </si>
  <si>
    <t>Bumping</t>
    <phoneticPr fontId="3" type="noConversion"/>
  </si>
  <si>
    <t>Bump</t>
    <phoneticPr fontId="3" type="noConversion"/>
  </si>
  <si>
    <t>Back Light Out</t>
    <phoneticPr fontId="3" type="noConversion"/>
  </si>
  <si>
    <t>김전욱</t>
    <phoneticPr fontId="3" type="noConversion"/>
  </si>
  <si>
    <t>정영춘</t>
    <phoneticPr fontId="3" type="noConversion"/>
  </si>
  <si>
    <t>박병주</t>
    <phoneticPr fontId="3" type="noConversion"/>
  </si>
  <si>
    <t xml:space="preserve">DRIVER </t>
    <phoneticPr fontId="3" type="noConversion"/>
  </si>
  <si>
    <t>ERROR 발생</t>
    <phoneticPr fontId="3" type="noConversion"/>
  </si>
  <si>
    <t>김남곤</t>
    <phoneticPr fontId="3" type="noConversion"/>
  </si>
  <si>
    <t>F/C</t>
    <phoneticPr fontId="3" type="noConversion"/>
  </si>
  <si>
    <t>K5</t>
  </si>
  <si>
    <t>김광승</t>
    <phoneticPr fontId="3" type="noConversion"/>
  </si>
  <si>
    <t>화면 안나옴 / 백라이트 교체</t>
    <phoneticPr fontId="3" type="noConversion"/>
  </si>
  <si>
    <t>NTS14-2584</t>
    <phoneticPr fontId="3" type="noConversion"/>
  </si>
  <si>
    <t>EMC</t>
    <phoneticPr fontId="3" type="noConversion"/>
  </si>
  <si>
    <t>PC Type Monitor_NewT다</t>
    <phoneticPr fontId="3" type="noConversion"/>
  </si>
  <si>
    <t>자체</t>
    <phoneticPr fontId="3" type="noConversion"/>
  </si>
  <si>
    <t>박동진</t>
    <phoneticPr fontId="3" type="noConversion"/>
  </si>
  <si>
    <t>Other</t>
  </si>
  <si>
    <t>Remote &amp; RF Controller 점검</t>
    <phoneticPr fontId="3" type="noConversion"/>
  </si>
  <si>
    <t>안성환</t>
    <phoneticPr fontId="3" type="noConversion"/>
  </si>
  <si>
    <t>error 32 발생</t>
    <phoneticPr fontId="3" type="noConversion"/>
  </si>
  <si>
    <t>윤여삼</t>
    <phoneticPr fontId="3" type="noConversion"/>
  </si>
  <si>
    <t>wire bonding</t>
    <phoneticPr fontId="3" type="noConversion"/>
  </si>
  <si>
    <t>power supply assy</t>
    <phoneticPr fontId="3" type="noConversion"/>
  </si>
  <si>
    <t>ka02065</t>
    <phoneticPr fontId="3" type="noConversion"/>
  </si>
  <si>
    <t>박병대</t>
  </si>
  <si>
    <t>DATACON</t>
    <phoneticPr fontId="3" type="noConversion"/>
  </si>
  <si>
    <t>DSCDP121-111-000</t>
    <phoneticPr fontId="3" type="noConversion"/>
  </si>
  <si>
    <t>조원종</t>
    <phoneticPr fontId="3" type="noConversion"/>
  </si>
  <si>
    <t>노동록</t>
    <phoneticPr fontId="3" type="noConversion"/>
  </si>
  <si>
    <t>수리완료</t>
    <phoneticPr fontId="3" type="noConversion"/>
  </si>
  <si>
    <t>C</t>
    <phoneticPr fontId="3" type="noConversion"/>
  </si>
  <si>
    <t>3T4P</t>
    <phoneticPr fontId="3" type="noConversion"/>
  </si>
  <si>
    <t>KEY 안눌림</t>
    <phoneticPr fontId="3" type="noConversion"/>
  </si>
  <si>
    <t>AC SERVO DRIVER</t>
    <phoneticPr fontId="3" type="noConversion"/>
  </si>
  <si>
    <t>이영석</t>
    <phoneticPr fontId="3" type="noConversion"/>
  </si>
  <si>
    <t>IONIZER</t>
    <phoneticPr fontId="3" type="noConversion"/>
  </si>
  <si>
    <t>ION 값 불량</t>
    <phoneticPr fontId="3" type="noConversion"/>
  </si>
  <si>
    <t>김영환</t>
    <phoneticPr fontId="3" type="noConversion"/>
  </si>
  <si>
    <t>신덕우</t>
  </si>
  <si>
    <t>신명호</t>
    <phoneticPr fontId="3" type="noConversion"/>
  </si>
  <si>
    <t>KIN-1500AP</t>
    <phoneticPr fontId="3" type="noConversion"/>
  </si>
  <si>
    <t>MOLD</t>
  </si>
  <si>
    <t>AJINEXTEK SMC-2V02</t>
    <phoneticPr fontId="3" type="noConversion"/>
  </si>
  <si>
    <t>이성곤</t>
    <phoneticPr fontId="3" type="noConversion"/>
  </si>
  <si>
    <t>efo open spark 안나옴</t>
    <phoneticPr fontId="3" type="noConversion"/>
  </si>
  <si>
    <t>최경철</t>
    <phoneticPr fontId="3" type="noConversion"/>
  </si>
  <si>
    <t>EE</t>
    <phoneticPr fontId="3" type="noConversion"/>
  </si>
  <si>
    <t>EE1</t>
    <phoneticPr fontId="3" type="noConversion"/>
  </si>
  <si>
    <t>TNCNP</t>
    <phoneticPr fontId="3" type="noConversion"/>
  </si>
  <si>
    <t>ac servo driver</t>
    <phoneticPr fontId="3" type="noConversion"/>
  </si>
  <si>
    <t>e9 error</t>
    <phoneticPr fontId="3" type="noConversion"/>
  </si>
  <si>
    <t>A21SB-08UY04</t>
    <phoneticPr fontId="3" type="noConversion"/>
  </si>
  <si>
    <t>IN OUT B/D</t>
    <phoneticPr fontId="3" type="noConversion"/>
  </si>
  <si>
    <t>정정욱</t>
    <phoneticPr fontId="3" type="noConversion"/>
  </si>
  <si>
    <t>SMD</t>
    <phoneticPr fontId="3" type="noConversion"/>
  </si>
  <si>
    <t>CAN B/D</t>
    <phoneticPr fontId="3" type="noConversion"/>
  </si>
  <si>
    <t>서중권</t>
    <phoneticPr fontId="3" type="noConversion"/>
  </si>
  <si>
    <t>hanmi</t>
    <phoneticPr fontId="3" type="noConversion"/>
  </si>
  <si>
    <t>MC-16F-HM</t>
    <phoneticPr fontId="3" type="noConversion"/>
  </si>
  <si>
    <t>error 16</t>
    <phoneticPr fontId="3" type="noConversion"/>
  </si>
  <si>
    <t>전태진</t>
    <phoneticPr fontId="3" type="noConversion"/>
  </si>
  <si>
    <t>YASKAWA</t>
    <phoneticPr fontId="3" type="noConversion"/>
  </si>
  <si>
    <t>SGDV-2R8A01A</t>
    <phoneticPr fontId="3" type="noConversion"/>
  </si>
  <si>
    <t>3T1P</t>
    <phoneticPr fontId="3" type="noConversion"/>
  </si>
  <si>
    <t>ionizer</t>
    <phoneticPr fontId="3" type="noConversion"/>
  </si>
  <si>
    <t>동작불량</t>
    <phoneticPr fontId="3" type="noConversion"/>
  </si>
  <si>
    <t>101201098</t>
    <phoneticPr fontId="3" type="noConversion"/>
  </si>
  <si>
    <t>이정렬</t>
    <phoneticPr fontId="3" type="noConversion"/>
  </si>
  <si>
    <t>K5</t>
    <phoneticPr fontId="3" type="noConversion"/>
  </si>
  <si>
    <t>170801536</t>
    <phoneticPr fontId="3" type="noConversion"/>
  </si>
  <si>
    <t>Reflow</t>
    <phoneticPr fontId="3" type="noConversion"/>
  </si>
  <si>
    <t>lift control b/d</t>
    <phoneticPr fontId="3" type="noConversion"/>
  </si>
  <si>
    <t>김대지</t>
    <phoneticPr fontId="3" type="noConversion"/>
  </si>
  <si>
    <t>w/b/g</t>
    <phoneticPr fontId="3" type="noConversion"/>
  </si>
  <si>
    <t xml:space="preserve">안됨 </t>
    <phoneticPr fontId="3" type="noConversion"/>
  </si>
  <si>
    <t xml:space="preserve">고압 RELAY on 안됨 가끔 </t>
    <phoneticPr fontId="3" type="noConversion"/>
  </si>
  <si>
    <t>KA02065</t>
    <phoneticPr fontId="3" type="noConversion"/>
  </si>
  <si>
    <t>장대호</t>
    <phoneticPr fontId="3" type="noConversion"/>
  </si>
  <si>
    <t>KA15026</t>
    <phoneticPr fontId="3" type="noConversion"/>
  </si>
  <si>
    <t>TORAY</t>
    <phoneticPr fontId="3" type="noConversion"/>
  </si>
  <si>
    <t>TEMP CONTROLLER</t>
    <phoneticPr fontId="3" type="noConversion"/>
  </si>
  <si>
    <t>김종근</t>
    <phoneticPr fontId="3" type="noConversion"/>
  </si>
  <si>
    <t>폐기</t>
  </si>
  <si>
    <t>PLC Power Supply</t>
    <phoneticPr fontId="3" type="noConversion"/>
  </si>
  <si>
    <t>130600800</t>
    <phoneticPr fontId="3" type="noConversion"/>
  </si>
  <si>
    <t>BX75XW</t>
    <phoneticPr fontId="3" type="noConversion"/>
  </si>
  <si>
    <t>이행원</t>
    <phoneticPr fontId="3" type="noConversion"/>
  </si>
  <si>
    <t>3T1P</t>
  </si>
  <si>
    <t>SMT</t>
    <phoneticPr fontId="3" type="noConversion"/>
  </si>
  <si>
    <t>Digital Touch Monitor</t>
    <phoneticPr fontId="3" type="noConversion"/>
  </si>
  <si>
    <t>Touch Panel 불량</t>
    <phoneticPr fontId="3" type="noConversion"/>
  </si>
  <si>
    <t>외주</t>
    <phoneticPr fontId="3" type="noConversion"/>
  </si>
  <si>
    <t>차한호</t>
    <phoneticPr fontId="3" type="noConversion"/>
  </si>
  <si>
    <t>SPR</t>
    <phoneticPr fontId="3" type="noConversion"/>
  </si>
  <si>
    <t>DFD6361 System PC</t>
    <phoneticPr fontId="3" type="noConversion"/>
  </si>
  <si>
    <t>Booting Fail</t>
    <phoneticPr fontId="3" type="noConversion"/>
  </si>
  <si>
    <t>유철호</t>
    <phoneticPr fontId="3" type="noConversion"/>
  </si>
  <si>
    <t>EE2</t>
    <phoneticPr fontId="3" type="noConversion"/>
  </si>
  <si>
    <t>Power Supply Assy</t>
    <phoneticPr fontId="3" type="noConversion"/>
  </si>
  <si>
    <t>Lowe Power</t>
    <phoneticPr fontId="3" type="noConversion"/>
  </si>
  <si>
    <t>김선일</t>
    <phoneticPr fontId="3" type="noConversion"/>
  </si>
  <si>
    <t>PM</t>
  </si>
  <si>
    <t>LED Controller</t>
    <phoneticPr fontId="3" type="noConversion"/>
  </si>
  <si>
    <t>한기호</t>
    <phoneticPr fontId="3" type="noConversion"/>
  </si>
  <si>
    <t>Touch Monitor</t>
    <phoneticPr fontId="3" type="noConversion"/>
  </si>
  <si>
    <t>LM190E09</t>
    <phoneticPr fontId="3" type="noConversion"/>
  </si>
  <si>
    <t>하운</t>
    <phoneticPr fontId="3" type="noConversion"/>
  </si>
  <si>
    <t>시설</t>
    <phoneticPr fontId="3" type="noConversion"/>
  </si>
  <si>
    <t>열풍기</t>
    <phoneticPr fontId="3" type="noConversion"/>
  </si>
  <si>
    <t>팬만돌고 LCD 화면 안되고 뜨겁지 않음 / 전원부 콘덴서 2개 교체</t>
    <phoneticPr fontId="3" type="noConversion"/>
  </si>
  <si>
    <t>611 110 178</t>
    <phoneticPr fontId="3" type="noConversion"/>
  </si>
  <si>
    <t>수리완료</t>
    <phoneticPr fontId="3" type="noConversion"/>
  </si>
  <si>
    <t>배터리 교체</t>
    <phoneticPr fontId="3" type="noConversion"/>
  </si>
  <si>
    <t>정기수</t>
    <phoneticPr fontId="3" type="noConversion"/>
  </si>
  <si>
    <t>박병대</t>
    <phoneticPr fontId="3" type="noConversion"/>
  </si>
  <si>
    <t>자체</t>
    <phoneticPr fontId="3" type="noConversion"/>
  </si>
  <si>
    <t xml:space="preserve">atx3 interface bd </t>
    <phoneticPr fontId="3" type="noConversion"/>
  </si>
  <si>
    <t xml:space="preserve">rej board에서 ic 추출 </t>
    <phoneticPr fontId="3" type="noConversion"/>
  </si>
  <si>
    <t>이충식</t>
    <phoneticPr fontId="3" type="noConversion"/>
  </si>
  <si>
    <t>SAT</t>
    <phoneticPr fontId="3" type="noConversion"/>
  </si>
  <si>
    <t>배터리 교체</t>
    <phoneticPr fontId="3" type="noConversion"/>
  </si>
  <si>
    <t>정기수</t>
    <phoneticPr fontId="3" type="noConversion"/>
  </si>
  <si>
    <t>고규식</t>
    <phoneticPr fontId="3" type="noConversion"/>
  </si>
  <si>
    <t>Battery</t>
    <phoneticPr fontId="3" type="noConversion"/>
  </si>
  <si>
    <t>Back Up용 Battery 교체</t>
    <phoneticPr fontId="3" type="noConversion"/>
  </si>
  <si>
    <t xml:space="preserve">encoder error / main  control  bd 교환  default setup </t>
    <phoneticPr fontId="3" type="noConversion"/>
  </si>
  <si>
    <t>윤여삼</t>
  </si>
  <si>
    <t>Battery pack</t>
  </si>
  <si>
    <t>정기수</t>
    <phoneticPr fontId="3" type="noConversion"/>
  </si>
  <si>
    <t>EE</t>
    <phoneticPr fontId="3" type="noConversion"/>
  </si>
  <si>
    <t>EE1</t>
    <phoneticPr fontId="3" type="noConversion"/>
  </si>
  <si>
    <t>신명호</t>
    <phoneticPr fontId="3" type="noConversion"/>
  </si>
  <si>
    <t>ILLUMINATOR BOX</t>
    <phoneticPr fontId="3" type="noConversion"/>
  </si>
  <si>
    <t>동작불량</t>
    <phoneticPr fontId="3" type="noConversion"/>
  </si>
  <si>
    <t>Battery 방전</t>
    <phoneticPr fontId="3" type="noConversion"/>
  </si>
  <si>
    <t>Wire Clamp Board</t>
    <phoneticPr fontId="3" type="noConversion"/>
  </si>
  <si>
    <t>Wire Clamp 동작 X</t>
    <phoneticPr fontId="3" type="noConversion"/>
  </si>
  <si>
    <t>Scanner Board</t>
    <phoneticPr fontId="3" type="noConversion"/>
  </si>
  <si>
    <t>윤준상</t>
    <phoneticPr fontId="3" type="noConversion"/>
  </si>
  <si>
    <t>온습도계</t>
    <phoneticPr fontId="3" type="noConversion"/>
  </si>
  <si>
    <t>Pendant</t>
    <phoneticPr fontId="3" type="noConversion"/>
  </si>
  <si>
    <t xml:space="preserve">	MK1369-70823B</t>
    <phoneticPr fontId="3" type="noConversion"/>
  </si>
  <si>
    <t xml:space="preserve">	MK1369-78903B	</t>
    <phoneticPr fontId="3" type="noConversion"/>
  </si>
  <si>
    <t xml:space="preserve">	MK1369-70Z06B</t>
    <phoneticPr fontId="3" type="noConversion"/>
  </si>
  <si>
    <t>안세왕</t>
    <phoneticPr fontId="3" type="noConversion"/>
  </si>
  <si>
    <t>VSF220-24</t>
  </si>
  <si>
    <t>220V에 110V인가하여 Fuse Burn</t>
    <phoneticPr fontId="3" type="noConversion"/>
  </si>
  <si>
    <t>한승진</t>
    <phoneticPr fontId="3" type="noConversion"/>
  </si>
  <si>
    <t>ac servo driver</t>
    <phoneticPr fontId="3" type="noConversion"/>
  </si>
  <si>
    <t>USED Temperature Logger</t>
  </si>
  <si>
    <t>USED TENKEY CONSOLE</t>
  </si>
  <si>
    <t>USED SPARK GENERATOR</t>
  </si>
  <si>
    <t>USED WEIGHING CELL</t>
  </si>
  <si>
    <t>USED VME CPU1 BOARD
PCOAB</t>
  </si>
  <si>
    <t>USED EFO BOX</t>
  </si>
  <si>
    <t>USED  PCI CAMERA CARD</t>
  </si>
  <si>
    <t>USED  PERIRACK BOARD</t>
  </si>
  <si>
    <t>USED  I/O TEMP CONTROLLER</t>
  </si>
  <si>
    <t>USED SERVO CPU ASSY.</t>
  </si>
  <si>
    <t>USED  USG BOARD</t>
  </si>
  <si>
    <t>USED DHMS STEPPER CONTROLLER</t>
  </si>
  <si>
    <t>USED  ESEC KEYBOARD</t>
  </si>
  <si>
    <t>USED  PACKDRIVER</t>
  </si>
  <si>
    <t>USED LOAD CELL</t>
  </si>
  <si>
    <t>OVEN</t>
  </si>
  <si>
    <t>ALL</t>
  </si>
  <si>
    <t>SAW
SING.</t>
  </si>
  <si>
    <t>UNDER
FILL</t>
  </si>
  <si>
    <t>DA</t>
  </si>
  <si>
    <t>TEST BED</t>
  </si>
  <si>
    <t>Garbage video, Mainboard problem</t>
  </si>
  <si>
    <t>No Comm to PC, Unable to download data.</t>
  </si>
  <si>
    <t>Boot failure</t>
  </si>
  <si>
    <t>EFO OPEN ALARM</t>
  </si>
  <si>
    <t>No image on Camera</t>
  </si>
  <si>
    <t>Hang-up</t>
  </si>
  <si>
    <t>BondHead Theta motor error</t>
  </si>
  <si>
    <t>Unable to calibrate BH FORCE Unit</t>
  </si>
  <si>
    <t>ALWAYS FAILED ON CALIBRATION</t>
  </si>
  <si>
    <t>Resonant Error at High Frequency</t>
  </si>
  <si>
    <t>EH INIT FOCUS MOTOR STEPPER FAILED</t>
  </si>
  <si>
    <t>No response</t>
  </si>
  <si>
    <t>Intermittent problem</t>
  </si>
  <si>
    <t>No power, Low resistance</t>
  </si>
  <si>
    <t>Damaged connector pins</t>
  </si>
  <si>
    <t>No Video Burnout U47 IC</t>
    <phoneticPr fontId="3" type="noConversion"/>
  </si>
  <si>
    <t>Unable to initialize. No reading. Damaged mechanical assy.</t>
    <phoneticPr fontId="3" type="noConversion"/>
  </si>
  <si>
    <t>Bootup OK. NO LAN COMM on eCIM</t>
    <phoneticPr fontId="3" type="noConversion"/>
  </si>
  <si>
    <t>Hang-up. Low resistance on U44 Quad IC.</t>
    <phoneticPr fontId="3" type="noConversion"/>
  </si>
  <si>
    <t>Defective keypad membrane. Key #2 always triggered.</t>
    <phoneticPr fontId="3" type="noConversion"/>
  </si>
  <si>
    <t>50061211B7D</t>
  </si>
  <si>
    <t>5005C151CA6</t>
  </si>
  <si>
    <t>50061211B79</t>
  </si>
  <si>
    <t>SN: 332401</t>
  </si>
  <si>
    <t>JMBT13A01</t>
  </si>
  <si>
    <t>S372205-
TAB77317</t>
  </si>
  <si>
    <t>S372205-
BL24002</t>
  </si>
  <si>
    <t>S27009-9135C945</t>
  </si>
  <si>
    <t>S68333-91264297</t>
  </si>
  <si>
    <t>S68333-9116E972</t>
  </si>
  <si>
    <t>S68333-91252877</t>
  </si>
  <si>
    <t>S68333-91231459</t>
  </si>
  <si>
    <t>ZMLJS</t>
  </si>
  <si>
    <t xml:space="preserve"> Z16JWF
</t>
  </si>
  <si>
    <t>S29032-3C166118</t>
  </si>
  <si>
    <t>S68333-61344793</t>
  </si>
  <si>
    <t>S68333-61186483</t>
  </si>
  <si>
    <t>S68333-612C6814</t>
  </si>
  <si>
    <t>S68333-609BC917</t>
  </si>
  <si>
    <t>S29032-3B163149</t>
  </si>
  <si>
    <t>KCR-0817065</t>
  </si>
  <si>
    <t>KCR-1016003</t>
  </si>
  <si>
    <t>KCR-1005054</t>
  </si>
  <si>
    <t>KCR-0808005</t>
  </si>
  <si>
    <t>KCR-0742065</t>
  </si>
  <si>
    <t>0506815</t>
  </si>
  <si>
    <t>BR1906281153</t>
  </si>
  <si>
    <t>PDT Timeout error #1000 During Dry Run Cycle</t>
    <phoneticPr fontId="3" type="noConversion"/>
  </si>
  <si>
    <t>이성문</t>
    <phoneticPr fontId="3" type="noConversion"/>
  </si>
  <si>
    <t>O/S Tester</t>
    <phoneticPr fontId="3" type="noConversion"/>
  </si>
  <si>
    <t>유창환</t>
    <phoneticPr fontId="3" type="noConversion"/>
  </si>
  <si>
    <t>MOLD</t>
    <phoneticPr fontId="3" type="noConversion"/>
  </si>
  <si>
    <t>OEM6250</t>
    <phoneticPr fontId="3" type="noConversion"/>
  </si>
  <si>
    <t>이만기</t>
    <phoneticPr fontId="3" type="noConversion"/>
  </si>
  <si>
    <t>F/C</t>
    <phoneticPr fontId="3" type="noConversion"/>
  </si>
  <si>
    <t xml:space="preserve">AL24   MODULE OUT </t>
    <phoneticPr fontId="3" type="noConversion"/>
  </si>
  <si>
    <t>MR-J2S-40A</t>
    <phoneticPr fontId="3" type="noConversion"/>
  </si>
  <si>
    <t>f/c</t>
    <phoneticPr fontId="3" type="noConversion"/>
  </si>
  <si>
    <t>김현만</t>
    <phoneticPr fontId="3" type="noConversion"/>
  </si>
  <si>
    <t xml:space="preserve"> ac servo driver</t>
    <phoneticPr fontId="3" type="noConversion"/>
  </si>
  <si>
    <t>LINE-UPS</t>
    <phoneticPr fontId="3" type="noConversion"/>
  </si>
  <si>
    <t>6T2P</t>
  </si>
  <si>
    <t>W/G/B</t>
    <phoneticPr fontId="3" type="noConversion"/>
  </si>
  <si>
    <t>변태운</t>
    <phoneticPr fontId="3" type="noConversion"/>
  </si>
  <si>
    <t>Plate</t>
    <phoneticPr fontId="3" type="noConversion"/>
  </si>
  <si>
    <t>Duarl power suppley</t>
    <phoneticPr fontId="3" type="noConversion"/>
  </si>
  <si>
    <t>입력 보드에 칩처항 및 PWM chip &amp; 콘덴서 교체</t>
    <phoneticPr fontId="3" type="noConversion"/>
  </si>
  <si>
    <t>김병완</t>
    <phoneticPr fontId="3" type="noConversion"/>
  </si>
  <si>
    <t>force check</t>
    <phoneticPr fontId="3" type="noConversion"/>
  </si>
  <si>
    <t>force senser Indicator</t>
    <phoneticPr fontId="3" type="noConversion"/>
  </si>
  <si>
    <t>504144</t>
    <phoneticPr fontId="3" type="noConversion"/>
  </si>
  <si>
    <t>Digital Idicator DN-10 2Sets out &amp; Force sensor 2 sets out</t>
    <phoneticPr fontId="3" type="noConversion"/>
  </si>
  <si>
    <t xml:space="preserve">e9  error </t>
    <phoneticPr fontId="3" type="noConversion"/>
  </si>
  <si>
    <t>EFO BOX</t>
    <phoneticPr fontId="3" type="noConversion"/>
  </si>
  <si>
    <t>Communication Error</t>
    <phoneticPr fontId="3" type="noConversion"/>
  </si>
  <si>
    <t>장대호</t>
    <phoneticPr fontId="3" type="noConversion"/>
  </si>
  <si>
    <t>B</t>
    <phoneticPr fontId="3" type="noConversion"/>
  </si>
  <si>
    <t>BITS BOARD</t>
    <phoneticPr fontId="3" type="noConversion"/>
  </si>
  <si>
    <t>BITS 안됨</t>
    <phoneticPr fontId="3" type="noConversion"/>
  </si>
  <si>
    <t>정기수</t>
    <phoneticPr fontId="3" type="noConversion"/>
  </si>
  <si>
    <t>자체</t>
    <phoneticPr fontId="3" type="noConversion"/>
  </si>
  <si>
    <t>자체</t>
    <phoneticPr fontId="3" type="noConversion"/>
  </si>
  <si>
    <t>이종국</t>
    <phoneticPr fontId="3" type="noConversion"/>
  </si>
  <si>
    <t>Manual Open</t>
    <phoneticPr fontId="3" type="noConversion"/>
  </si>
  <si>
    <t>자체</t>
    <phoneticPr fontId="3" type="noConversion"/>
  </si>
  <si>
    <t>정기수</t>
    <phoneticPr fontId="3" type="noConversion"/>
  </si>
  <si>
    <t>S68333-9116D847</t>
    <phoneticPr fontId="3" type="noConversion"/>
  </si>
  <si>
    <t>구용회</t>
    <phoneticPr fontId="3" type="noConversion"/>
  </si>
  <si>
    <t>dc 48v out</t>
    <phoneticPr fontId="3" type="noConversion"/>
  </si>
  <si>
    <t>ka09190</t>
    <phoneticPr fontId="3" type="noConversion"/>
  </si>
  <si>
    <t xml:space="preserve">saw </t>
    <phoneticPr fontId="3" type="noConversion"/>
  </si>
  <si>
    <t>MBDDT2207A03</t>
    <phoneticPr fontId="3" type="noConversion"/>
  </si>
  <si>
    <t xml:space="preserve">consol DV0P4420 이용한 SETUP 절차 개발 </t>
    <phoneticPr fontId="3" type="noConversion"/>
  </si>
  <si>
    <t>김성도</t>
    <phoneticPr fontId="3" type="noConversion"/>
  </si>
  <si>
    <t>QA</t>
  </si>
  <si>
    <t xml:space="preserve"> </t>
    <phoneticPr fontId="3" type="noConversion"/>
  </si>
  <si>
    <t>김전욱</t>
    <phoneticPr fontId="3" type="noConversion"/>
  </si>
  <si>
    <t>APC-E036</t>
    <phoneticPr fontId="3" type="noConversion"/>
  </si>
  <si>
    <t>박성민</t>
    <phoneticPr fontId="3" type="noConversion"/>
  </si>
  <si>
    <t>소성환</t>
    <phoneticPr fontId="3" type="noConversion"/>
  </si>
  <si>
    <t>3상 Power Cable Connector 연결</t>
    <phoneticPr fontId="3" type="noConversion"/>
  </si>
  <si>
    <t>Green Led Out</t>
    <phoneticPr fontId="3" type="noConversion"/>
  </si>
  <si>
    <t xml:space="preserve">특주로 1번 module out 2번 cap 극성 바뀜 3 7800 모두  교환/test 는 안됨 </t>
    <phoneticPr fontId="3" type="noConversion"/>
  </si>
  <si>
    <t>Vision Measuring Machine</t>
    <phoneticPr fontId="3" type="noConversion"/>
  </si>
  <si>
    <t>Firing problem</t>
    <phoneticPr fontId="3" type="noConversion"/>
  </si>
  <si>
    <t>정윤권</t>
    <phoneticPr fontId="3" type="noConversion"/>
  </si>
  <si>
    <t>FAN</t>
    <phoneticPr fontId="3" type="noConversion"/>
  </si>
  <si>
    <t>임수성</t>
    <phoneticPr fontId="3" type="noConversion"/>
  </si>
  <si>
    <t>Connector Broken</t>
    <phoneticPr fontId="3" type="noConversion"/>
  </si>
  <si>
    <t>외주수리완료</t>
  </si>
  <si>
    <t>자체</t>
    <phoneticPr fontId="3" type="noConversion"/>
  </si>
  <si>
    <t>정기수</t>
    <phoneticPr fontId="3" type="noConversion"/>
  </si>
  <si>
    <t>신명호</t>
    <phoneticPr fontId="3" type="noConversion"/>
  </si>
  <si>
    <t>동작불량</t>
    <phoneticPr fontId="3" type="noConversion"/>
  </si>
  <si>
    <t>수리완료</t>
    <phoneticPr fontId="3" type="noConversion"/>
  </si>
  <si>
    <t xml:space="preserve">홍복희 </t>
    <phoneticPr fontId="3" type="noConversion"/>
  </si>
  <si>
    <t>F/C</t>
    <phoneticPr fontId="3" type="noConversion"/>
  </si>
  <si>
    <t>최경철</t>
    <phoneticPr fontId="3" type="noConversion"/>
  </si>
  <si>
    <t>E9</t>
    <phoneticPr fontId="3" type="noConversion"/>
  </si>
  <si>
    <t>Camera Kit</t>
    <phoneticPr fontId="3" type="noConversion"/>
  </si>
  <si>
    <t>VA65257</t>
    <phoneticPr fontId="3" type="noConversion"/>
  </si>
  <si>
    <t>VA31708</t>
    <phoneticPr fontId="3" type="noConversion"/>
  </si>
  <si>
    <t>VA43125</t>
    <phoneticPr fontId="3" type="noConversion"/>
  </si>
  <si>
    <t>VA26101</t>
    <phoneticPr fontId="3" type="noConversion"/>
  </si>
  <si>
    <t>VA51005</t>
    <phoneticPr fontId="3" type="noConversion"/>
  </si>
  <si>
    <t>VA77282</t>
    <phoneticPr fontId="3" type="noConversion"/>
  </si>
  <si>
    <t>VA74666</t>
    <phoneticPr fontId="3" type="noConversion"/>
  </si>
  <si>
    <t>VA74632</t>
    <phoneticPr fontId="3" type="noConversion"/>
  </si>
  <si>
    <t>BTU</t>
    <phoneticPr fontId="3" type="noConversion"/>
  </si>
  <si>
    <t>error / check no error</t>
    <phoneticPr fontId="3" type="noConversion"/>
  </si>
  <si>
    <t>ㅡ</t>
    <phoneticPr fontId="3" type="noConversion"/>
  </si>
  <si>
    <t xml:space="preserve">최경철 </t>
    <phoneticPr fontId="3" type="noConversion"/>
  </si>
  <si>
    <t>yaskawa driver</t>
    <phoneticPr fontId="3" type="noConversion"/>
  </si>
  <si>
    <t xml:space="preserve">fan &amp; para copy </t>
    <phoneticPr fontId="3" type="noConversion"/>
  </si>
  <si>
    <t>TCNCP</t>
    <phoneticPr fontId="3" type="noConversion"/>
  </si>
  <si>
    <t>NEW PACK COPY</t>
    <phoneticPr fontId="3" type="noConversion"/>
  </si>
  <si>
    <t>강영관</t>
    <phoneticPr fontId="3" type="noConversion"/>
  </si>
  <si>
    <t>ROS</t>
    <phoneticPr fontId="3" type="noConversion"/>
  </si>
  <si>
    <t>SMPS</t>
    <phoneticPr fontId="3" type="noConversion"/>
  </si>
  <si>
    <t>전압 안나옴 / 내부 콘덴서 교체</t>
    <phoneticPr fontId="3" type="noConversion"/>
  </si>
  <si>
    <t>한승진</t>
    <phoneticPr fontId="3" type="noConversion"/>
  </si>
  <si>
    <t>수리완료</t>
    <phoneticPr fontId="3" type="noConversion"/>
  </si>
  <si>
    <t>G</t>
    <phoneticPr fontId="3" type="noConversion"/>
  </si>
  <si>
    <t>6T2P</t>
    <phoneticPr fontId="3" type="noConversion"/>
  </si>
  <si>
    <t>W/B/G</t>
    <phoneticPr fontId="3" type="noConversion"/>
  </si>
  <si>
    <t>N/A</t>
    <phoneticPr fontId="3" type="noConversion"/>
  </si>
  <si>
    <t>인쇄안됨</t>
    <phoneticPr fontId="3" type="noConversion"/>
  </si>
  <si>
    <t>자체</t>
    <phoneticPr fontId="3" type="noConversion"/>
  </si>
  <si>
    <t>정기수</t>
    <phoneticPr fontId="3" type="noConversion"/>
  </si>
  <si>
    <t>수리완료</t>
    <phoneticPr fontId="3" type="noConversion"/>
  </si>
  <si>
    <t>자체</t>
    <phoneticPr fontId="3" type="noConversion"/>
  </si>
  <si>
    <t>정기수</t>
    <phoneticPr fontId="3" type="noConversion"/>
  </si>
  <si>
    <t>전원 안들어옴</t>
    <phoneticPr fontId="3" type="noConversion"/>
  </si>
  <si>
    <t>박경식</t>
    <phoneticPr fontId="3" type="noConversion"/>
  </si>
  <si>
    <t>cpu fan out</t>
    <phoneticPr fontId="3" type="noConversion"/>
  </si>
  <si>
    <t>오세왕</t>
    <phoneticPr fontId="3" type="noConversion"/>
  </si>
  <si>
    <t>power supply</t>
    <phoneticPr fontId="3" type="noConversion"/>
  </si>
  <si>
    <t>한승진</t>
    <phoneticPr fontId="3" type="noConversion"/>
  </si>
  <si>
    <t>G</t>
    <phoneticPr fontId="3" type="noConversion"/>
  </si>
  <si>
    <t>W/B/G</t>
    <phoneticPr fontId="3" type="noConversion"/>
  </si>
  <si>
    <t>MONITOR</t>
    <phoneticPr fontId="3" type="noConversion"/>
  </si>
  <si>
    <t>TM150-TSTH03</t>
    <phoneticPr fontId="3" type="noConversion"/>
  </si>
  <si>
    <t>터치불량</t>
    <phoneticPr fontId="3" type="noConversion"/>
  </si>
  <si>
    <t>최경철</t>
    <phoneticPr fontId="3" type="noConversion"/>
  </si>
  <si>
    <t>EE</t>
    <phoneticPr fontId="3" type="noConversion"/>
  </si>
  <si>
    <t>EE1</t>
    <phoneticPr fontId="3" type="noConversion"/>
  </si>
  <si>
    <t>COMIZOA</t>
    <phoneticPr fontId="3" type="noConversion"/>
  </si>
  <si>
    <t>동작불량</t>
    <phoneticPr fontId="3" type="noConversion"/>
  </si>
  <si>
    <t>외주</t>
    <phoneticPr fontId="3" type="noConversion"/>
  </si>
  <si>
    <t>씨맥스</t>
    <phoneticPr fontId="3" type="noConversion"/>
  </si>
  <si>
    <t>장은철</t>
    <phoneticPr fontId="3" type="noConversion"/>
  </si>
  <si>
    <t>P_LA635E</t>
    <phoneticPr fontId="3" type="noConversion"/>
  </si>
  <si>
    <t>P_LA634E</t>
    <phoneticPr fontId="3" type="noConversion"/>
  </si>
  <si>
    <t>5154</t>
    <phoneticPr fontId="3" type="noConversion"/>
  </si>
  <si>
    <t>8274</t>
    <phoneticPr fontId="3" type="noConversion"/>
  </si>
  <si>
    <t>23119</t>
    <phoneticPr fontId="3" type="noConversion"/>
  </si>
  <si>
    <t>B414500</t>
    <phoneticPr fontId="3" type="noConversion"/>
  </si>
  <si>
    <t>C302200</t>
    <phoneticPr fontId="3" type="noConversion"/>
  </si>
  <si>
    <t>602933</t>
    <phoneticPr fontId="3" type="noConversion"/>
  </si>
  <si>
    <t>0602</t>
    <phoneticPr fontId="3" type="noConversion"/>
  </si>
  <si>
    <t>B414400</t>
    <phoneticPr fontId="3" type="noConversion"/>
  </si>
  <si>
    <t>HDD 교체 및 Windows7 설치</t>
    <phoneticPr fontId="3" type="noConversion"/>
  </si>
  <si>
    <t>최경철</t>
    <phoneticPr fontId="3" type="noConversion"/>
  </si>
  <si>
    <t>MITSUBISHI</t>
    <phoneticPr fontId="3" type="noConversion"/>
  </si>
  <si>
    <t>SERVO DRIVER</t>
    <phoneticPr fontId="3" type="noConversion"/>
  </si>
  <si>
    <t>김경철</t>
    <phoneticPr fontId="3" type="noConversion"/>
  </si>
  <si>
    <t>error / 크리닝 하여 제 조립 팬 낮은 속고로 운영</t>
    <phoneticPr fontId="3" type="noConversion"/>
  </si>
  <si>
    <t>140701934</t>
    <phoneticPr fontId="3" type="noConversion"/>
  </si>
  <si>
    <t>김성환</t>
    <phoneticPr fontId="3" type="noConversion"/>
  </si>
  <si>
    <t>OVEN Overhual</t>
    <phoneticPr fontId="3" type="noConversion"/>
  </si>
  <si>
    <t>제어부</t>
    <phoneticPr fontId="3" type="noConversion"/>
  </si>
  <si>
    <t>정, 역 전환 안됨 / 전환 3단 스위치 교체</t>
    <phoneticPr fontId="3" type="noConversion"/>
  </si>
  <si>
    <t>806001338</t>
    <phoneticPr fontId="3" type="noConversion"/>
  </si>
  <si>
    <t>이상호</t>
    <phoneticPr fontId="3" type="noConversion"/>
  </si>
  <si>
    <t>LED POWER CONTROLLER</t>
    <phoneticPr fontId="3" type="noConversion"/>
  </si>
  <si>
    <t>동작불량</t>
    <phoneticPr fontId="3" type="noConversion"/>
  </si>
  <si>
    <t>수리불가</t>
  </si>
  <si>
    <t>CPU BOARD PCOAB</t>
    <phoneticPr fontId="3" type="noConversion"/>
  </si>
  <si>
    <t>USB 인식 못함</t>
    <phoneticPr fontId="3" type="noConversion"/>
  </si>
  <si>
    <t>MATROX 4 Sight M</t>
    <phoneticPr fontId="3" type="noConversion"/>
  </si>
  <si>
    <t>Consol 창 실행못함</t>
    <phoneticPr fontId="3" type="noConversion"/>
  </si>
  <si>
    <t>Umable to communicate to Master</t>
    <phoneticPr fontId="3" type="noConversion"/>
  </si>
  <si>
    <t>자체</t>
    <phoneticPr fontId="3" type="noConversion"/>
  </si>
  <si>
    <t>정기수</t>
    <phoneticPr fontId="3" type="noConversion"/>
  </si>
  <si>
    <t>수리완료</t>
    <phoneticPr fontId="3" type="noConversion"/>
  </si>
  <si>
    <t>유철호</t>
    <phoneticPr fontId="3" type="noConversion"/>
  </si>
  <si>
    <t>수리완료</t>
    <phoneticPr fontId="3" type="noConversion"/>
  </si>
  <si>
    <t>EE</t>
    <phoneticPr fontId="3" type="noConversion"/>
  </si>
  <si>
    <t>EE1</t>
    <phoneticPr fontId="3" type="noConversion"/>
  </si>
  <si>
    <t>동작불량</t>
    <phoneticPr fontId="3" type="noConversion"/>
  </si>
  <si>
    <t>자체</t>
    <phoneticPr fontId="3" type="noConversion"/>
  </si>
  <si>
    <t>정기수</t>
    <phoneticPr fontId="3" type="noConversion"/>
  </si>
  <si>
    <t>유재호</t>
    <phoneticPr fontId="3" type="noConversion"/>
  </si>
  <si>
    <t>Z-Node</t>
    <phoneticPr fontId="3" type="noConversion"/>
  </si>
  <si>
    <t>일정시간 지난 후 Z 축 Down</t>
    <phoneticPr fontId="3" type="noConversion"/>
  </si>
  <si>
    <t>장성복</t>
    <phoneticPr fontId="3" type="noConversion"/>
  </si>
  <si>
    <t>2T3P</t>
    <phoneticPr fontId="3" type="noConversion"/>
  </si>
  <si>
    <t>115229A</t>
    <phoneticPr fontId="3" type="noConversion"/>
  </si>
  <si>
    <t>EB0657A02-14320041SV</t>
    <phoneticPr fontId="3" type="noConversion"/>
  </si>
  <si>
    <t>USED PCI CAMERA CARD</t>
    <phoneticPr fontId="3" type="noConversion"/>
  </si>
  <si>
    <t>USED  EURESYS BOARD</t>
    <phoneticPr fontId="3" type="noConversion"/>
  </si>
  <si>
    <t>USED  NEXTMOVE CARD</t>
    <phoneticPr fontId="3" type="noConversion"/>
  </si>
  <si>
    <t>21400813</t>
    <phoneticPr fontId="3" type="noConversion"/>
  </si>
  <si>
    <t>20704912</t>
    <phoneticPr fontId="3" type="noConversion"/>
  </si>
  <si>
    <t>DHM06019</t>
    <phoneticPr fontId="3" type="noConversion"/>
  </si>
  <si>
    <t>No image on Camera</t>
    <phoneticPr fontId="3" type="noConversion"/>
  </si>
  <si>
    <t>Hang-up</t>
    <phoneticPr fontId="3" type="noConversion"/>
  </si>
  <si>
    <t>Z-Motor stuck</t>
    <phoneticPr fontId="3" type="noConversion"/>
  </si>
  <si>
    <t>신영호</t>
    <phoneticPr fontId="3" type="noConversion"/>
  </si>
  <si>
    <t>수리완료</t>
    <phoneticPr fontId="3" type="noConversion"/>
  </si>
  <si>
    <t>PM</t>
    <phoneticPr fontId="3" type="noConversion"/>
  </si>
  <si>
    <t>PC</t>
    <phoneticPr fontId="3" type="noConversion"/>
  </si>
  <si>
    <t>파워 안됨</t>
    <phoneticPr fontId="3" type="noConversion"/>
  </si>
  <si>
    <t>System PC</t>
    <phoneticPr fontId="3" type="noConversion"/>
  </si>
  <si>
    <t>자체</t>
    <phoneticPr fontId="3" type="noConversion"/>
  </si>
  <si>
    <t>정기수</t>
    <phoneticPr fontId="3" type="noConversion"/>
  </si>
  <si>
    <t>정영춘</t>
    <phoneticPr fontId="3" type="noConversion"/>
  </si>
  <si>
    <t>W/B/G</t>
    <phoneticPr fontId="3" type="noConversion"/>
  </si>
  <si>
    <t>uvcontroller</t>
    <phoneticPr fontId="3" type="noConversion"/>
  </si>
  <si>
    <t xml:space="preserve">점검 /자체 수리 검토 </t>
    <phoneticPr fontId="3" type="noConversion"/>
  </si>
  <si>
    <t>최경철</t>
    <phoneticPr fontId="3" type="noConversion"/>
  </si>
  <si>
    <t>ac servo driver</t>
    <phoneticPr fontId="3" type="noConversion"/>
  </si>
  <si>
    <t>HOT plate</t>
    <phoneticPr fontId="3" type="noConversion"/>
  </si>
  <si>
    <t>제어보드</t>
    <phoneticPr fontId="3" type="noConversion"/>
  </si>
  <si>
    <t>제보드 키</t>
    <phoneticPr fontId="3" type="noConversion"/>
  </si>
  <si>
    <t>전원 안들러옴 / 전원 스위치 교체</t>
    <phoneticPr fontId="3" type="noConversion"/>
  </si>
  <si>
    <t>좌, 우키 및 상하키 안됨 / 스위치 4개 교체후 락 풀고 조정</t>
    <phoneticPr fontId="3" type="noConversion"/>
  </si>
  <si>
    <t>홍학선</t>
    <phoneticPr fontId="3" type="noConversion"/>
  </si>
  <si>
    <t>EFO Open</t>
    <phoneticPr fontId="3" type="noConversion"/>
  </si>
  <si>
    <t>전원 불량</t>
    <phoneticPr fontId="3" type="noConversion"/>
  </si>
  <si>
    <t>자체</t>
    <phoneticPr fontId="3" type="noConversion"/>
  </si>
  <si>
    <t>정기수</t>
    <phoneticPr fontId="3" type="noConversion"/>
  </si>
  <si>
    <t>82210159</t>
    <phoneticPr fontId="3" type="noConversion"/>
  </si>
  <si>
    <t>LCD MONITOR</t>
    <phoneticPr fontId="3" type="noConversion"/>
  </si>
  <si>
    <t>정기수</t>
    <phoneticPr fontId="3" type="noConversion"/>
  </si>
  <si>
    <t>폐기</t>
    <phoneticPr fontId="3" type="noConversion"/>
  </si>
  <si>
    <t>김현만</t>
    <phoneticPr fontId="3" type="noConversion"/>
  </si>
  <si>
    <t>power supply</t>
    <phoneticPr fontId="3" type="noConversion"/>
  </si>
  <si>
    <t>강영관</t>
    <phoneticPr fontId="3" type="noConversion"/>
  </si>
  <si>
    <t>이신희</t>
    <phoneticPr fontId="3" type="noConversion"/>
  </si>
  <si>
    <t>Plassma</t>
    <phoneticPr fontId="3" type="noConversion"/>
  </si>
  <si>
    <t>Ezi-Servo</t>
    <phoneticPr fontId="3" type="noConversion"/>
  </si>
  <si>
    <t>1008F2TD1141</t>
    <phoneticPr fontId="3" type="noConversion"/>
  </si>
  <si>
    <t>1005D1056</t>
    <phoneticPr fontId="3" type="noConversion"/>
  </si>
  <si>
    <t># 17 ERROR MAIN BOARD CPU OUT 수리불가</t>
    <phoneticPr fontId="3" type="noConversion"/>
  </si>
  <si>
    <t>외주수리불가</t>
  </si>
  <si>
    <t>패널</t>
    <phoneticPr fontId="3" type="noConversion"/>
  </si>
  <si>
    <t>화면 안나옴 / 패널 out로 패널 내부 램프교체</t>
    <phoneticPr fontId="3" type="noConversion"/>
  </si>
  <si>
    <t>G12C025117</t>
    <phoneticPr fontId="3" type="noConversion"/>
  </si>
  <si>
    <t>이상화면 / 패널 대치품으로 교체</t>
    <phoneticPr fontId="3" type="noConversion"/>
  </si>
  <si>
    <t>L11L055727</t>
    <phoneticPr fontId="3" type="noConversion"/>
  </si>
  <si>
    <t>패널 안나옴</t>
    <phoneticPr fontId="3" type="noConversion"/>
  </si>
  <si>
    <t>유성수</t>
    <phoneticPr fontId="3" type="noConversion"/>
  </si>
  <si>
    <t>수리완료</t>
    <phoneticPr fontId="3" type="noConversion"/>
  </si>
  <si>
    <t>G</t>
    <phoneticPr fontId="3" type="noConversion"/>
  </si>
  <si>
    <t>터치 안됨</t>
    <phoneticPr fontId="3" type="noConversion"/>
  </si>
  <si>
    <t>자체</t>
    <phoneticPr fontId="3" type="noConversion"/>
  </si>
  <si>
    <t>장은철</t>
    <phoneticPr fontId="3" type="noConversion"/>
  </si>
  <si>
    <t>I/O TEMP CTRL &amp; ILLUM BOARD</t>
  </si>
  <si>
    <t>일정시간 동작후 Down</t>
  </si>
  <si>
    <t>mr-J2S-10A</t>
    <phoneticPr fontId="3" type="noConversion"/>
  </si>
  <si>
    <t xml:space="preserve">para manual 입력은 가능 하지만 set up program 통신 error  발생건 #19이 0000으로 setting 되면 발생 </t>
    <phoneticPr fontId="3" type="noConversion"/>
  </si>
  <si>
    <t>최경철</t>
    <phoneticPr fontId="3" type="noConversion"/>
  </si>
  <si>
    <t>ac SERVO DRIVER</t>
    <phoneticPr fontId="3" type="noConversion"/>
  </si>
  <si>
    <t>AL52</t>
    <phoneticPr fontId="3" type="noConversion"/>
  </si>
  <si>
    <t>출력불량</t>
    <phoneticPr fontId="3" type="noConversion"/>
  </si>
  <si>
    <t>ls programable logic controler</t>
    <phoneticPr fontId="3" type="noConversion"/>
  </si>
  <si>
    <t>최재성</t>
    <phoneticPr fontId="3" type="noConversion"/>
  </si>
  <si>
    <t>Clamp 동작 안함</t>
    <phoneticPr fontId="3" type="noConversion"/>
  </si>
  <si>
    <t>B</t>
    <phoneticPr fontId="3" type="noConversion"/>
  </si>
  <si>
    <t>2T2P</t>
    <phoneticPr fontId="3" type="noConversion"/>
  </si>
  <si>
    <t>NSOL ERROR</t>
    <phoneticPr fontId="3" type="noConversion"/>
  </si>
  <si>
    <t>정기수</t>
    <phoneticPr fontId="3" type="noConversion"/>
  </si>
  <si>
    <t>강영관</t>
    <phoneticPr fontId="3" type="noConversion"/>
  </si>
  <si>
    <t>D/P</t>
    <phoneticPr fontId="3" type="noConversion"/>
  </si>
  <si>
    <t>Digital IN-Board</t>
    <phoneticPr fontId="3" type="noConversion"/>
  </si>
  <si>
    <t>Signal 문제</t>
    <phoneticPr fontId="3" type="noConversion"/>
  </si>
  <si>
    <t>FF</t>
    <phoneticPr fontId="3" type="noConversion"/>
  </si>
  <si>
    <t>장비 PC SMPS out / 모든 콘덴서 PWM IC &amp; TL431 교체</t>
    <phoneticPr fontId="3" type="noConversion"/>
  </si>
  <si>
    <t>진선규</t>
    <phoneticPr fontId="3" type="noConversion"/>
  </si>
  <si>
    <t>p/saw</t>
    <phoneticPr fontId="3" type="noConversion"/>
  </si>
  <si>
    <t>김두환</t>
    <phoneticPr fontId="3" type="noConversion"/>
  </si>
  <si>
    <t>AC SERVO DRIVER</t>
    <phoneticPr fontId="3" type="noConversion"/>
  </si>
  <si>
    <t>INTERFACE  B/D</t>
    <phoneticPr fontId="3" type="noConversion"/>
  </si>
  <si>
    <t>강영관</t>
    <phoneticPr fontId="3" type="noConversion"/>
  </si>
  <si>
    <t>강영구</t>
    <phoneticPr fontId="3" type="noConversion"/>
  </si>
  <si>
    <t>ALL</t>
    <phoneticPr fontId="3" type="noConversion"/>
  </si>
  <si>
    <t xml:space="preserve">PICKIT3 </t>
    <phoneticPr fontId="3" type="noConversion"/>
  </si>
  <si>
    <t>PROGRAMMER  SETUP</t>
    <phoneticPr fontId="3" type="noConversion"/>
  </si>
  <si>
    <t>터치 안되는 현상 / 232 교환</t>
    <phoneticPr fontId="3" type="noConversion"/>
  </si>
  <si>
    <t>201710-960601</t>
    <phoneticPr fontId="3" type="noConversion"/>
  </si>
  <si>
    <t>고주파 Cable</t>
    <phoneticPr fontId="3" type="noConversion"/>
  </si>
  <si>
    <t>단선</t>
    <phoneticPr fontId="3" type="noConversion"/>
  </si>
  <si>
    <t>김홍집</t>
    <phoneticPr fontId="3" type="noConversion"/>
  </si>
  <si>
    <t>power SUPPLY</t>
    <phoneticPr fontId="3" type="noConversion"/>
  </si>
  <si>
    <t>9V power SUPPLY</t>
    <phoneticPr fontId="3" type="noConversion"/>
  </si>
  <si>
    <t>LASER ABL</t>
    <phoneticPr fontId="3" type="noConversion"/>
  </si>
  <si>
    <t>진선규</t>
    <phoneticPr fontId="3" type="noConversion"/>
  </si>
  <si>
    <t>p/saw</t>
    <phoneticPr fontId="3" type="noConversion"/>
  </si>
  <si>
    <t>강명국</t>
    <phoneticPr fontId="3" type="noConversion"/>
  </si>
  <si>
    <t>정상전원 출력 안됨 / 분해하여 모든 콘덴서 교체</t>
    <phoneticPr fontId="3" type="noConversion"/>
  </si>
  <si>
    <t>CNU0222YJ9</t>
    <phoneticPr fontId="3" type="noConversion"/>
  </si>
  <si>
    <t>SMPS(N193 18.5V3.5A)</t>
    <phoneticPr fontId="3" type="noConversion"/>
  </si>
  <si>
    <t>motor</t>
    <phoneticPr fontId="3" type="noConversion"/>
  </si>
  <si>
    <t>motor connector 제작</t>
    <phoneticPr fontId="3" type="noConversion"/>
  </si>
  <si>
    <t>APM MOLD</t>
    <phoneticPr fontId="3" type="noConversion"/>
  </si>
  <si>
    <t>6k4</t>
    <phoneticPr fontId="3" type="noConversion"/>
  </si>
  <si>
    <t>모터떨림</t>
    <phoneticPr fontId="3" type="noConversion"/>
  </si>
  <si>
    <t>Position 못 찾음</t>
    <phoneticPr fontId="3" type="noConversion"/>
  </si>
  <si>
    <t>남형주</t>
    <phoneticPr fontId="3" type="noConversion"/>
  </si>
  <si>
    <t>MK320S-24</t>
    <phoneticPr fontId="3" type="noConversion"/>
  </si>
  <si>
    <t>출력 불안정</t>
    <phoneticPr fontId="3" type="noConversion"/>
  </si>
  <si>
    <t>강봉진</t>
    <phoneticPr fontId="3" type="noConversion"/>
  </si>
  <si>
    <t>SEMITOOL</t>
    <phoneticPr fontId="3" type="noConversion"/>
  </si>
  <si>
    <t>INTERCONNECT BOX</t>
    <phoneticPr fontId="3" type="noConversion"/>
  </si>
  <si>
    <t>error /driver chip 교체</t>
    <phoneticPr fontId="3" type="noConversion"/>
  </si>
  <si>
    <t>이신희</t>
    <phoneticPr fontId="3" type="noConversion"/>
  </si>
  <si>
    <t>vsp-880</t>
    <phoneticPr fontId="3" type="noConversion"/>
  </si>
  <si>
    <t>ac servo driver</t>
    <phoneticPr fontId="3" type="noConversion"/>
  </si>
  <si>
    <t>파워 보드</t>
    <phoneticPr fontId="3" type="noConversion"/>
  </si>
  <si>
    <t>전원 출력 안됨 / 입력 콘덴서 및 퓨즈 out 교체</t>
    <phoneticPr fontId="3" type="noConversion"/>
  </si>
  <si>
    <t>0285137HR</t>
    <phoneticPr fontId="3" type="noConversion"/>
  </si>
  <si>
    <t>이규한</t>
    <phoneticPr fontId="3" type="noConversion"/>
  </si>
  <si>
    <t>Bump</t>
  </si>
  <si>
    <t>PC</t>
    <phoneticPr fontId="3" type="noConversion"/>
  </si>
  <si>
    <t>POWER OUT</t>
    <phoneticPr fontId="3" type="noConversion"/>
  </si>
  <si>
    <t>Bump1</t>
    <phoneticPr fontId="3" type="noConversion"/>
  </si>
  <si>
    <t>현임창</t>
    <phoneticPr fontId="3" type="noConversion"/>
  </si>
  <si>
    <t>F/C BGA</t>
    <phoneticPr fontId="3" type="noConversion"/>
  </si>
  <si>
    <t>REFLOW</t>
    <phoneticPr fontId="3" type="noConversion"/>
  </si>
  <si>
    <t>김호석</t>
    <phoneticPr fontId="3" type="noConversion"/>
  </si>
  <si>
    <t>QA</t>
    <phoneticPr fontId="3" type="noConversion"/>
  </si>
  <si>
    <t>이리륨 코팅기</t>
    <phoneticPr fontId="3" type="noConversion"/>
  </si>
  <si>
    <t>Power 불안정</t>
    <phoneticPr fontId="3" type="noConversion"/>
  </si>
  <si>
    <t>ERROR 52</t>
    <phoneticPr fontId="3" type="noConversion"/>
  </si>
  <si>
    <t>유창환</t>
    <phoneticPr fontId="3" type="noConversion"/>
  </si>
  <si>
    <t>part feeder</t>
    <phoneticPr fontId="3" type="noConversion"/>
  </si>
  <si>
    <t>CABLE 연장</t>
    <phoneticPr fontId="3" type="noConversion"/>
  </si>
  <si>
    <t>남형주</t>
    <phoneticPr fontId="3" type="noConversion"/>
  </si>
  <si>
    <t>김철우</t>
    <phoneticPr fontId="3" type="noConversion"/>
  </si>
  <si>
    <t>2-Port USB switch</t>
    <phoneticPr fontId="3" type="noConversion"/>
  </si>
  <si>
    <t>PC 화면 전환 안됨 / 프로그램 오류로 펨웨어 업그래이드</t>
    <phoneticPr fontId="3" type="noConversion"/>
  </si>
  <si>
    <t>Z3H4-172-0222</t>
    <phoneticPr fontId="3" type="noConversion"/>
  </si>
  <si>
    <t>송정원</t>
    <phoneticPr fontId="3" type="noConversion"/>
  </si>
  <si>
    <t>error 반짝임 / 보드네 콘덴서 파손으로 모든 콘덴서 교체</t>
    <phoneticPr fontId="3" type="noConversion"/>
  </si>
  <si>
    <t>1908001422</t>
    <phoneticPr fontId="3" type="noConversion"/>
  </si>
  <si>
    <t>error / 핀어세이 6개 교체</t>
    <phoneticPr fontId="3" type="noConversion"/>
  </si>
  <si>
    <t>101000902</t>
    <phoneticPr fontId="3" type="noConversion"/>
  </si>
  <si>
    <t>장재혁</t>
    <phoneticPr fontId="3" type="noConversion"/>
  </si>
  <si>
    <t>SMP</t>
    <phoneticPr fontId="3" type="noConversion"/>
  </si>
  <si>
    <t>전원 출력 안됨 / PWM chip change</t>
    <phoneticPr fontId="3" type="noConversion"/>
  </si>
  <si>
    <t>F090203737</t>
    <phoneticPr fontId="3" type="noConversion"/>
  </si>
  <si>
    <t>강성렬</t>
    <phoneticPr fontId="3" type="noConversion"/>
  </si>
  <si>
    <t>error / 크리닝 하여 제립 조정함</t>
    <phoneticPr fontId="3" type="noConversion"/>
  </si>
  <si>
    <t>140100743</t>
    <phoneticPr fontId="3" type="noConversion"/>
  </si>
  <si>
    <t>AXT BIHR</t>
    <phoneticPr fontId="3" type="noConversion"/>
  </si>
  <si>
    <t>이신희</t>
    <phoneticPr fontId="3" type="noConversion"/>
  </si>
  <si>
    <t>step system</t>
    <phoneticPr fontId="3" type="noConversion"/>
  </si>
  <si>
    <t>ALE9 ERROR CONTROLLER POWER 전원 문제</t>
    <phoneticPr fontId="3" type="noConversion"/>
  </si>
  <si>
    <t>유완수</t>
    <phoneticPr fontId="3" type="noConversion"/>
  </si>
  <si>
    <t>강성렬</t>
    <phoneticPr fontId="3" type="noConversion"/>
  </si>
  <si>
    <t>MR-J2S-10A</t>
    <phoneticPr fontId="3" type="noConversion"/>
  </si>
  <si>
    <t>AC SERVO DRIVER</t>
    <phoneticPr fontId="3" type="noConversion"/>
  </si>
  <si>
    <t>AL31</t>
    <phoneticPr fontId="3" type="noConversion"/>
  </si>
  <si>
    <t>parts feeder</t>
    <phoneticPr fontId="3" type="noConversion"/>
  </si>
  <si>
    <t>유완수</t>
    <phoneticPr fontId="3" type="noConversion"/>
  </si>
  <si>
    <t>수리완료</t>
    <phoneticPr fontId="3" type="noConversion"/>
  </si>
  <si>
    <t>C</t>
    <phoneticPr fontId="3" type="noConversion"/>
  </si>
  <si>
    <t>3T3P</t>
    <phoneticPr fontId="3" type="noConversion"/>
  </si>
  <si>
    <t>전원 불량</t>
    <phoneticPr fontId="3" type="noConversion"/>
  </si>
  <si>
    <t>자체</t>
    <phoneticPr fontId="3" type="noConversion"/>
  </si>
  <si>
    <t>정기수</t>
    <phoneticPr fontId="3" type="noConversion"/>
  </si>
  <si>
    <t>김재왕</t>
    <phoneticPr fontId="3" type="noConversion"/>
  </si>
  <si>
    <t>F/C</t>
    <phoneticPr fontId="3" type="noConversion"/>
  </si>
  <si>
    <t>DHP480-24-1</t>
    <phoneticPr fontId="3" type="noConversion"/>
  </si>
  <si>
    <t>DSCDM341-111-000</t>
    <phoneticPr fontId="3" type="noConversion"/>
  </si>
  <si>
    <t>POWER OUT BURN OUT</t>
    <phoneticPr fontId="3" type="noConversion"/>
  </si>
  <si>
    <t>MOTOR CONTROL 불량</t>
    <phoneticPr fontId="3" type="noConversion"/>
  </si>
  <si>
    <t>motor 떨림</t>
    <phoneticPr fontId="3" type="noConversion"/>
  </si>
  <si>
    <t>F</t>
    <phoneticPr fontId="3" type="noConversion"/>
  </si>
  <si>
    <t>5T1P</t>
    <phoneticPr fontId="3" type="noConversion"/>
  </si>
  <si>
    <t>BACK LIGHT OUT 교쳬 예정</t>
    <phoneticPr fontId="3" type="noConversion"/>
  </si>
  <si>
    <t>BACK LIGHT OUT 교체 예정</t>
    <phoneticPr fontId="3" type="noConversion"/>
  </si>
  <si>
    <t>A</t>
    <phoneticPr fontId="3" type="noConversion"/>
  </si>
  <si>
    <t>"075040094312786"</t>
    <phoneticPr fontId="3" type="noConversion"/>
  </si>
  <si>
    <t>차한호</t>
    <phoneticPr fontId="3" type="noConversion"/>
  </si>
  <si>
    <t>EE2</t>
    <phoneticPr fontId="3" type="noConversion"/>
  </si>
  <si>
    <t>EE</t>
    <phoneticPr fontId="3" type="noConversion"/>
  </si>
  <si>
    <t>SAW</t>
    <phoneticPr fontId="3" type="noConversion"/>
  </si>
  <si>
    <t>DAPB106</t>
    <phoneticPr fontId="3" type="noConversion"/>
  </si>
  <si>
    <t>무게 감지 못함</t>
    <phoneticPr fontId="3" type="noConversion"/>
  </si>
  <si>
    <t>윤여삼</t>
    <phoneticPr fontId="3" type="noConversion"/>
  </si>
  <si>
    <t>POWER SUPPLY ASSY</t>
    <phoneticPr fontId="3" type="noConversion"/>
  </si>
  <si>
    <t>KA42399</t>
    <phoneticPr fontId="3" type="noConversion"/>
  </si>
  <si>
    <t>LSC</t>
    <phoneticPr fontId="3" type="noConversion"/>
  </si>
  <si>
    <t>chip mount Main PC</t>
    <phoneticPr fontId="3" type="noConversion"/>
  </si>
  <si>
    <t>A5E309474770H3 DC to DC Out로 PWM Chip 2ea 교체</t>
    <phoneticPr fontId="3" type="noConversion"/>
  </si>
  <si>
    <t>14 26-073</t>
    <phoneticPr fontId="3" type="noConversion"/>
  </si>
  <si>
    <t>Vacuum Pressore</t>
    <phoneticPr fontId="3" type="noConversion"/>
  </si>
  <si>
    <t>sensor board</t>
    <phoneticPr fontId="3" type="noConversion"/>
  </si>
  <si>
    <t>sensor 내부 콘덴서 파손으로 모두 교체 / sensor 상태 이상</t>
    <phoneticPr fontId="3" type="noConversion"/>
  </si>
  <si>
    <t>275J8881</t>
    <phoneticPr fontId="3" type="noConversion"/>
  </si>
  <si>
    <t xml:space="preserve">uln2803 burn </t>
    <phoneticPr fontId="3" type="noConversion"/>
  </si>
  <si>
    <t>driver bd  k50</t>
    <phoneticPr fontId="3" type="noConversion"/>
  </si>
  <si>
    <t xml:space="preserve"> set up program 통신 error  발생건 #19 pr 문제 확실  발생 </t>
    <phoneticPr fontId="3" type="noConversion"/>
  </si>
  <si>
    <t>자체</t>
    <phoneticPr fontId="3" type="noConversion"/>
  </si>
  <si>
    <t>정윤권</t>
    <phoneticPr fontId="3" type="noConversion"/>
  </si>
  <si>
    <t>A</t>
    <phoneticPr fontId="3" type="noConversion"/>
  </si>
  <si>
    <t>1T3P</t>
    <phoneticPr fontId="3" type="noConversion"/>
  </si>
  <si>
    <t>MONITOR</t>
    <phoneticPr fontId="3" type="noConversion"/>
  </si>
  <si>
    <t>전원 안됨</t>
    <phoneticPr fontId="3" type="noConversion"/>
  </si>
  <si>
    <t>정기수</t>
    <phoneticPr fontId="3" type="noConversion"/>
  </si>
  <si>
    <t>나승훈</t>
    <phoneticPr fontId="3" type="noConversion"/>
  </si>
  <si>
    <t>온도 컨트롤 안됨</t>
    <phoneticPr fontId="3" type="noConversion"/>
  </si>
  <si>
    <t>자체</t>
    <phoneticPr fontId="3" type="noConversion"/>
  </si>
  <si>
    <t>최경철</t>
    <phoneticPr fontId="3" type="noConversion"/>
  </si>
  <si>
    <t>ac servo driver</t>
    <phoneticPr fontId="3" type="noConversion"/>
  </si>
  <si>
    <t>e9 error</t>
    <phoneticPr fontId="3" type="noConversion"/>
  </si>
  <si>
    <t>유창환</t>
    <phoneticPr fontId="3" type="noConversion"/>
  </si>
  <si>
    <t>최정훈</t>
    <phoneticPr fontId="3" type="noConversion"/>
  </si>
  <si>
    <t>신덕우</t>
    <phoneticPr fontId="3" type="noConversion"/>
  </si>
  <si>
    <t>오유지</t>
    <phoneticPr fontId="3" type="noConversion"/>
  </si>
  <si>
    <t>최창경</t>
    <phoneticPr fontId="3" type="noConversion"/>
  </si>
  <si>
    <t>3T5P</t>
  </si>
  <si>
    <t>BOOT failure</t>
    <phoneticPr fontId="3" type="noConversion"/>
  </si>
  <si>
    <t>SYSTEM POWER SUPPLY</t>
    <phoneticPr fontId="3" type="noConversion"/>
  </si>
  <si>
    <t>6T1P</t>
  </si>
  <si>
    <t>BURN OUT</t>
    <phoneticPr fontId="3" type="noConversion"/>
  </si>
  <si>
    <t>강성렬</t>
    <phoneticPr fontId="3" type="noConversion"/>
  </si>
  <si>
    <t>E9</t>
    <phoneticPr fontId="3" type="noConversion"/>
  </si>
  <si>
    <t>POWER SUPPLY</t>
    <phoneticPr fontId="3" type="noConversion"/>
  </si>
  <si>
    <t>유창환</t>
    <phoneticPr fontId="3" type="noConversion"/>
  </si>
  <si>
    <t>자체</t>
    <phoneticPr fontId="3" type="noConversion"/>
  </si>
  <si>
    <t>장대호</t>
    <phoneticPr fontId="3" type="noConversion"/>
  </si>
  <si>
    <t>B</t>
    <phoneticPr fontId="3" type="noConversion"/>
  </si>
  <si>
    <t>BITS &amp; SPOOL MOTOR 동작 불량</t>
    <phoneticPr fontId="3" type="noConversion"/>
  </si>
  <si>
    <t>자체</t>
    <phoneticPr fontId="3" type="noConversion"/>
  </si>
  <si>
    <t>정기수</t>
    <phoneticPr fontId="3" type="noConversion"/>
  </si>
  <si>
    <t>김현만</t>
    <phoneticPr fontId="3" type="noConversion"/>
  </si>
  <si>
    <t>AC SERVO DRIVER</t>
    <phoneticPr fontId="3" type="noConversion"/>
  </si>
  <si>
    <t>김효천</t>
    <phoneticPr fontId="3" type="noConversion"/>
  </si>
  <si>
    <t>이정우</t>
    <phoneticPr fontId="3" type="noConversion"/>
  </si>
  <si>
    <t>IPU</t>
    <phoneticPr fontId="3" type="noConversion"/>
  </si>
  <si>
    <t>자체</t>
    <phoneticPr fontId="3" type="noConversion"/>
  </si>
  <si>
    <t>정기수</t>
    <phoneticPr fontId="3" type="noConversion"/>
  </si>
  <si>
    <t>da</t>
    <phoneticPr fontId="3" type="noConversion"/>
  </si>
  <si>
    <t>d/a  Main PC</t>
    <phoneticPr fontId="3" type="noConversion"/>
  </si>
  <si>
    <t>sputter</t>
    <phoneticPr fontId="3" type="noConversion"/>
  </si>
  <si>
    <t>강성렬</t>
    <phoneticPr fontId="3" type="noConversion"/>
  </si>
  <si>
    <t>E9 ERROR</t>
    <phoneticPr fontId="3" type="noConversion"/>
  </si>
  <si>
    <t>Solder</t>
    <phoneticPr fontId="3" type="noConversion"/>
  </si>
  <si>
    <t>전원 안나옴 / 입력 콘덴서 및 모든 콘덴서와 고속 다이오드 교체</t>
    <phoneticPr fontId="3" type="noConversion"/>
  </si>
  <si>
    <t>SMPS(H235P-00)</t>
    <phoneticPr fontId="3" type="noConversion"/>
  </si>
  <si>
    <t>NOPW116</t>
    <phoneticPr fontId="3" type="noConversion"/>
  </si>
  <si>
    <t>Office</t>
    <phoneticPr fontId="3" type="noConversion"/>
  </si>
  <si>
    <t>전원 안나옴 / 입력 콘덴서 포함 모든 콘덴서와 PWM chip change</t>
    <phoneticPr fontId="3" type="noConversion"/>
  </si>
  <si>
    <t>NOR224M</t>
    <phoneticPr fontId="3" type="noConversion"/>
  </si>
  <si>
    <t xml:space="preserve">3상 Power Cable Connector 제작 </t>
    <phoneticPr fontId="3" type="noConversion"/>
  </si>
  <si>
    <t>24v power supply</t>
    <phoneticPr fontId="3" type="noConversion"/>
  </si>
  <si>
    <t>K7M-DR20S</t>
    <phoneticPr fontId="3" type="noConversion"/>
  </si>
  <si>
    <t>장비용 KEYBOARD</t>
    <phoneticPr fontId="3" type="noConversion"/>
  </si>
  <si>
    <t>곽용철</t>
    <phoneticPr fontId="3" type="noConversion"/>
  </si>
  <si>
    <t>RELFA1</t>
    <phoneticPr fontId="3" type="noConversion"/>
  </si>
  <si>
    <t>PC</t>
    <phoneticPr fontId="3" type="noConversion"/>
  </si>
  <si>
    <t>DISPLAY 안됨</t>
    <phoneticPr fontId="3" type="noConversion"/>
  </si>
  <si>
    <t>윤여삼</t>
    <phoneticPr fontId="3" type="noConversion"/>
  </si>
  <si>
    <t>power supply assy</t>
    <phoneticPr fontId="3" type="noConversion"/>
  </si>
  <si>
    <t>copper bonding 안됨</t>
    <phoneticPr fontId="3" type="noConversion"/>
  </si>
  <si>
    <t>임수성</t>
    <phoneticPr fontId="3" type="noConversion"/>
  </si>
  <si>
    <t>CCU BOX</t>
    <phoneticPr fontId="3" type="noConversion"/>
  </si>
  <si>
    <t>LOW 불량</t>
    <phoneticPr fontId="3" type="noConversion"/>
  </si>
  <si>
    <t>ERROR #2 #4   uc3842 3845 ps3510 2834</t>
    <phoneticPr fontId="3" type="noConversion"/>
  </si>
  <si>
    <t>SMPS(L235P-01)</t>
    <phoneticPr fontId="3" type="noConversion"/>
  </si>
  <si>
    <t>전원 안나옴 / 입력 콘덴서 포함 모든 콘덴서</t>
    <phoneticPr fontId="3" type="noConversion"/>
  </si>
  <si>
    <t>화면 어두움</t>
    <phoneticPr fontId="3" type="noConversion"/>
  </si>
  <si>
    <t>자체</t>
    <phoneticPr fontId="3" type="noConversion"/>
  </si>
  <si>
    <t>정기수</t>
    <phoneticPr fontId="3" type="noConversion"/>
  </si>
  <si>
    <t>허성석</t>
    <phoneticPr fontId="3" type="noConversion"/>
  </si>
  <si>
    <t>비정상적으로 나옴 / 전원 어답터 수리</t>
    <phoneticPr fontId="3" type="noConversion"/>
  </si>
  <si>
    <t>1T5P</t>
  </si>
  <si>
    <t>SMPS (AC235AS-00)</t>
    <phoneticPr fontId="3" type="noConversion"/>
  </si>
  <si>
    <t>전원 안나옴 / 입력 콘덴서 및 모든 콘덴서 교체</t>
    <phoneticPr fontId="3" type="noConversion"/>
  </si>
  <si>
    <t>PC9033</t>
    <phoneticPr fontId="3" type="noConversion"/>
  </si>
  <si>
    <t>신명호</t>
    <phoneticPr fontId="3" type="noConversion"/>
  </si>
  <si>
    <t>TCNCP</t>
    <phoneticPr fontId="3" type="noConversion"/>
  </si>
  <si>
    <t>UPS</t>
    <phoneticPr fontId="3" type="noConversion"/>
  </si>
  <si>
    <t>출력안됨</t>
    <phoneticPr fontId="3" type="noConversion"/>
  </si>
  <si>
    <t>LOW 깜박거림</t>
    <phoneticPr fontId="3" type="noConversion"/>
  </si>
  <si>
    <t>OVEN</t>
    <phoneticPr fontId="3" type="noConversion"/>
  </si>
  <si>
    <t>김태식</t>
    <phoneticPr fontId="3" type="noConversion"/>
  </si>
  <si>
    <t>F/C</t>
    <phoneticPr fontId="3" type="noConversion"/>
  </si>
  <si>
    <t xml:space="preserve">KEY PAD </t>
    <phoneticPr fontId="3" type="noConversion"/>
  </si>
  <si>
    <t xml:space="preserve"> 전원 안들어옴  battery 구매중</t>
    <phoneticPr fontId="3" type="noConversion"/>
  </si>
  <si>
    <t xml:space="preserve"> C OUT</t>
    <phoneticPr fontId="3" type="noConversion"/>
  </si>
  <si>
    <t>한승진</t>
    <phoneticPr fontId="3" type="noConversion"/>
  </si>
  <si>
    <t>G</t>
    <phoneticPr fontId="3" type="noConversion"/>
  </si>
  <si>
    <t>6T2P</t>
    <phoneticPr fontId="3" type="noConversion"/>
  </si>
  <si>
    <t>정기수</t>
    <phoneticPr fontId="3" type="noConversion"/>
  </si>
  <si>
    <t>소성환</t>
    <phoneticPr fontId="3" type="noConversion"/>
  </si>
  <si>
    <t>EE</t>
    <phoneticPr fontId="3" type="noConversion"/>
  </si>
  <si>
    <t>W/B</t>
    <phoneticPr fontId="3" type="noConversion"/>
  </si>
  <si>
    <t>BITS BOARD</t>
    <phoneticPr fontId="3" type="noConversion"/>
  </si>
  <si>
    <t>정기수</t>
    <phoneticPr fontId="3" type="noConversion"/>
  </si>
  <si>
    <t>김태식</t>
    <phoneticPr fontId="3" type="noConversion"/>
  </si>
  <si>
    <t>oven</t>
    <phoneticPr fontId="3" type="noConversion"/>
  </si>
  <si>
    <t>AC SERVO DRIVER</t>
    <phoneticPr fontId="3" type="noConversion"/>
  </si>
  <si>
    <t>MR-J2S-40A</t>
    <phoneticPr fontId="3" type="noConversion"/>
  </si>
  <si>
    <t>조현익</t>
    <phoneticPr fontId="3" type="noConversion"/>
  </si>
  <si>
    <t>전명원</t>
    <phoneticPr fontId="3" type="noConversion"/>
  </si>
  <si>
    <t>나르미</t>
    <phoneticPr fontId="3" type="noConversion"/>
  </si>
  <si>
    <t>AGV Motor Driver B/D</t>
    <phoneticPr fontId="3" type="noConversion"/>
  </si>
  <si>
    <t>FET,저항,IC 교체</t>
    <phoneticPr fontId="3" type="noConversion"/>
  </si>
  <si>
    <t>최경철</t>
    <phoneticPr fontId="3" type="noConversion"/>
  </si>
  <si>
    <t>E9</t>
    <phoneticPr fontId="3" type="noConversion"/>
  </si>
  <si>
    <t>BITS AGC, SPOLL SENSOR 인식 안됨</t>
    <phoneticPr fontId="3" type="noConversion"/>
  </si>
  <si>
    <t>임수성</t>
    <phoneticPr fontId="3" type="noConversion"/>
  </si>
  <si>
    <t>B</t>
    <phoneticPr fontId="3" type="noConversion"/>
  </si>
  <si>
    <t>자체</t>
    <phoneticPr fontId="3" type="noConversion"/>
  </si>
  <si>
    <t>정기수</t>
    <phoneticPr fontId="3" type="noConversion"/>
  </si>
  <si>
    <t>AGC Error</t>
    <phoneticPr fontId="3" type="noConversion"/>
  </si>
  <si>
    <t>김남곤</t>
    <phoneticPr fontId="3" type="noConversion"/>
  </si>
  <si>
    <t>C/A</t>
    <phoneticPr fontId="3" type="noConversion"/>
  </si>
  <si>
    <t>Vision PC</t>
    <phoneticPr fontId="3" type="noConversion"/>
  </si>
  <si>
    <t xml:space="preserve">qa </t>
    <phoneticPr fontId="3" type="noConversion"/>
  </si>
  <si>
    <t xml:space="preserve">out </t>
    <phoneticPr fontId="3" type="noConversion"/>
  </si>
  <si>
    <t>커넥터불량/BITS 불량</t>
    <phoneticPr fontId="3" type="noConversion"/>
  </si>
  <si>
    <t>자체</t>
    <phoneticPr fontId="3" type="noConversion"/>
  </si>
  <si>
    <t>황종수</t>
    <phoneticPr fontId="3" type="noConversion"/>
  </si>
  <si>
    <t>Spool Motor 동작 불량</t>
    <phoneticPr fontId="3" type="noConversion"/>
  </si>
  <si>
    <t>정진우</t>
    <phoneticPr fontId="3" type="noConversion"/>
  </si>
  <si>
    <t>Chip mount</t>
    <phoneticPr fontId="3" type="noConversion"/>
  </si>
  <si>
    <t>정상 회전 안함 / 크리닝 후 작동</t>
    <phoneticPr fontId="3" type="noConversion"/>
  </si>
  <si>
    <t>자체</t>
    <phoneticPr fontId="3" type="noConversion"/>
  </si>
  <si>
    <t>Half Stepper BD 4214</t>
    <phoneticPr fontId="3" type="noConversion"/>
  </si>
  <si>
    <t>장대호</t>
    <phoneticPr fontId="3" type="noConversion"/>
  </si>
  <si>
    <t>ic 1256</t>
    <phoneticPr fontId="3" type="noConversion"/>
  </si>
  <si>
    <t>ATP</t>
    <phoneticPr fontId="3" type="noConversion"/>
  </si>
  <si>
    <t>Vision PC Mother Board</t>
  </si>
  <si>
    <t>APM SERVO CONTROLLER</t>
    <phoneticPr fontId="3" type="noConversion"/>
  </si>
  <si>
    <t>intermittent clamp problem</t>
  </si>
  <si>
    <t>Vision pc no display</t>
  </si>
  <si>
    <t>09B0197-12208-60-MIBBY0-B02-0304</t>
  </si>
  <si>
    <t>STEPPER CONTROLLER BOARD</t>
    <phoneticPr fontId="3" type="noConversion"/>
  </si>
  <si>
    <t>SMPS (L240AS-00)</t>
    <phoneticPr fontId="3" type="noConversion"/>
  </si>
  <si>
    <t>전원 아나옴 / 입력 콘덴서, 입력 FET &amp; 출력 FET 및 모든 콘덴서 교체</t>
    <phoneticPr fontId="3" type="noConversion"/>
  </si>
  <si>
    <t>N02TXYM</t>
    <phoneticPr fontId="3" type="noConversion"/>
  </si>
  <si>
    <t>임수성</t>
    <phoneticPr fontId="3" type="noConversion"/>
  </si>
  <si>
    <t>백윤덕</t>
    <phoneticPr fontId="3" type="noConversion"/>
  </si>
  <si>
    <t>수리완료</t>
    <phoneticPr fontId="3" type="noConversion"/>
  </si>
  <si>
    <t>C</t>
    <phoneticPr fontId="3" type="noConversion"/>
  </si>
  <si>
    <t>3T3P</t>
    <phoneticPr fontId="3" type="noConversion"/>
  </si>
  <si>
    <t>Board,고압,팬 불량</t>
    <phoneticPr fontId="3" type="noConversion"/>
  </si>
  <si>
    <t>자체</t>
    <phoneticPr fontId="3" type="noConversion"/>
  </si>
  <si>
    <t>정기수</t>
    <phoneticPr fontId="3" type="noConversion"/>
  </si>
  <si>
    <t>B</t>
    <phoneticPr fontId="3" type="noConversion"/>
  </si>
  <si>
    <t>정기수</t>
    <phoneticPr fontId="3" type="noConversion"/>
  </si>
  <si>
    <t>SMPS (24V 31.3A)</t>
    <phoneticPr fontId="3" type="noConversion"/>
  </si>
  <si>
    <t>보드 4.7ohm 1W / PWM chip out로 교체, 콘덴서 2개 교체 고속 다이오드 교체</t>
    <phoneticPr fontId="3" type="noConversion"/>
  </si>
  <si>
    <t>RB2A095606</t>
    <phoneticPr fontId="3" type="noConversion"/>
  </si>
  <si>
    <t>Z축 Down // 4시간 DryRun Test 완료</t>
    <phoneticPr fontId="3" type="noConversion"/>
  </si>
  <si>
    <t>Battery pack</t>
    <phoneticPr fontId="3" type="noConversion"/>
  </si>
  <si>
    <t>박서진</t>
    <phoneticPr fontId="3" type="noConversion"/>
  </si>
  <si>
    <t>에스렛</t>
    <phoneticPr fontId="3" type="noConversion"/>
  </si>
  <si>
    <t>Monitor</t>
    <phoneticPr fontId="3" type="noConversion"/>
  </si>
  <si>
    <t>패널  안나옴 / 패널 out 되어 폐기</t>
    <phoneticPr fontId="3" type="noConversion"/>
  </si>
  <si>
    <t>Z축 Down #854 Error 출력</t>
    <phoneticPr fontId="3" type="noConversion"/>
  </si>
  <si>
    <t>Z-AXIS Motor 전원 안걸림</t>
    <phoneticPr fontId="3" type="noConversion"/>
  </si>
  <si>
    <t>MICRO/TRI-HALF STEPPER B/D</t>
    <phoneticPr fontId="3" type="noConversion"/>
  </si>
  <si>
    <t>HEX HALF STEPPER B/D</t>
    <phoneticPr fontId="3" type="noConversion"/>
  </si>
  <si>
    <t>OFF LOADER</t>
    <phoneticPr fontId="3" type="noConversion"/>
  </si>
  <si>
    <t>11030709204</t>
    <phoneticPr fontId="3" type="noConversion"/>
  </si>
  <si>
    <t>EFO Short</t>
    <phoneticPr fontId="3" type="noConversion"/>
  </si>
  <si>
    <t>ULTRASONIC CLEANER</t>
    <phoneticPr fontId="3" type="noConversion"/>
  </si>
  <si>
    <t>SGDV-1R6A01A</t>
    <phoneticPr fontId="3" type="noConversion"/>
  </si>
  <si>
    <t>FAN 교체</t>
    <phoneticPr fontId="3" type="noConversion"/>
  </si>
  <si>
    <t>L/M</t>
    <phoneticPr fontId="3" type="noConversion"/>
  </si>
  <si>
    <t>6200 B/D</t>
    <phoneticPr fontId="3" type="noConversion"/>
  </si>
  <si>
    <t>SPEED CONTROLLER</t>
    <phoneticPr fontId="3" type="noConversion"/>
  </si>
  <si>
    <t>서대혁</t>
    <phoneticPr fontId="3" type="noConversion"/>
  </si>
  <si>
    <t>SONIX SAT</t>
    <phoneticPr fontId="3" type="noConversion"/>
  </si>
  <si>
    <t>임수성</t>
    <phoneticPr fontId="3" type="noConversion"/>
  </si>
  <si>
    <t>동작불량</t>
    <phoneticPr fontId="3" type="noConversion"/>
  </si>
  <si>
    <t>ka38575</t>
    <phoneticPr fontId="3" type="noConversion"/>
  </si>
  <si>
    <t>전원불량</t>
    <phoneticPr fontId="3" type="noConversion"/>
  </si>
  <si>
    <t>oven</t>
    <phoneticPr fontId="3" type="noConversion"/>
  </si>
  <si>
    <t>이진곤</t>
    <phoneticPr fontId="3" type="noConversion"/>
  </si>
  <si>
    <t>김정석</t>
    <phoneticPr fontId="3" type="noConversion"/>
  </si>
  <si>
    <t>수리완료</t>
    <phoneticPr fontId="3" type="noConversion"/>
  </si>
  <si>
    <t>A</t>
    <phoneticPr fontId="3" type="noConversion"/>
  </si>
  <si>
    <t>1T3P</t>
    <phoneticPr fontId="3" type="noConversion"/>
  </si>
  <si>
    <t>monitor</t>
    <phoneticPr fontId="3" type="noConversion"/>
  </si>
  <si>
    <t>패널불량</t>
    <phoneticPr fontId="3" type="noConversion"/>
  </si>
  <si>
    <t>자체</t>
    <phoneticPr fontId="3" type="noConversion"/>
  </si>
  <si>
    <t>정기수</t>
    <phoneticPr fontId="3" type="noConversion"/>
  </si>
  <si>
    <t>efo open</t>
    <phoneticPr fontId="3" type="noConversion"/>
  </si>
  <si>
    <t>정기수</t>
    <phoneticPr fontId="3" type="noConversion"/>
  </si>
  <si>
    <t>6K2</t>
    <phoneticPr fontId="3" type="noConversion"/>
  </si>
  <si>
    <t>WIre Clamp Heavy Kit Board</t>
    <phoneticPr fontId="3" type="noConversion"/>
  </si>
  <si>
    <t>양강호</t>
    <phoneticPr fontId="3" type="noConversion"/>
  </si>
  <si>
    <t>mold</t>
    <phoneticPr fontId="3" type="noConversion"/>
  </si>
  <si>
    <t>alarm  on 됨</t>
    <phoneticPr fontId="3" type="noConversion"/>
  </si>
  <si>
    <t>최기화 안됨</t>
    <phoneticPr fontId="3" type="noConversion"/>
  </si>
  <si>
    <t>f-eol</t>
    <phoneticPr fontId="3" type="noConversion"/>
  </si>
  <si>
    <t>한광식</t>
    <phoneticPr fontId="3" type="noConversion"/>
  </si>
  <si>
    <t>SENSOR I/O B/D</t>
    <phoneticPr fontId="3" type="noConversion"/>
  </si>
  <si>
    <t>김영환</t>
    <phoneticPr fontId="3" type="noConversion"/>
  </si>
  <si>
    <t>Plasma</t>
    <phoneticPr fontId="3" type="noConversion"/>
  </si>
  <si>
    <t>Motion B/D</t>
    <phoneticPr fontId="3" type="noConversion"/>
  </si>
  <si>
    <t>Position 값 읽지 못함</t>
    <phoneticPr fontId="3" type="noConversion"/>
  </si>
  <si>
    <t>한승진</t>
    <phoneticPr fontId="3" type="noConversion"/>
  </si>
  <si>
    <t>수리완료</t>
    <phoneticPr fontId="3" type="noConversion"/>
  </si>
  <si>
    <t>G</t>
    <phoneticPr fontId="3" type="noConversion"/>
  </si>
  <si>
    <t>6T2P</t>
    <phoneticPr fontId="3" type="noConversion"/>
  </si>
  <si>
    <t>Touch Monitor</t>
    <phoneticPr fontId="3" type="noConversion"/>
  </si>
  <si>
    <t>전원 불량</t>
    <phoneticPr fontId="3" type="noConversion"/>
  </si>
  <si>
    <t>자체</t>
    <phoneticPr fontId="3" type="noConversion"/>
  </si>
  <si>
    <t>정기수</t>
    <phoneticPr fontId="3" type="noConversion"/>
  </si>
  <si>
    <t>윤여삼</t>
    <phoneticPr fontId="3" type="noConversion"/>
  </si>
  <si>
    <t>power supply assy</t>
    <phoneticPr fontId="3" type="noConversion"/>
  </si>
  <si>
    <t>동작불량</t>
    <phoneticPr fontId="3" type="noConversion"/>
  </si>
  <si>
    <t>양강호</t>
    <phoneticPr fontId="3" type="noConversion"/>
  </si>
  <si>
    <t>mold</t>
    <phoneticPr fontId="3" type="noConversion"/>
  </si>
  <si>
    <t>feed controller</t>
    <phoneticPr fontId="3" type="noConversion"/>
  </si>
  <si>
    <t>speed 조절안됨</t>
    <phoneticPr fontId="3" type="noConversion"/>
  </si>
  <si>
    <t>ka33832</t>
    <phoneticPr fontId="3" type="noConversion"/>
  </si>
  <si>
    <t>임수성</t>
    <phoneticPr fontId="3" type="noConversion"/>
  </si>
  <si>
    <t>수리완료</t>
    <phoneticPr fontId="3" type="noConversion"/>
  </si>
  <si>
    <t>B</t>
    <phoneticPr fontId="3" type="noConversion"/>
  </si>
  <si>
    <t>2T2P</t>
    <phoneticPr fontId="3" type="noConversion"/>
  </si>
  <si>
    <t>MONITOR</t>
    <phoneticPr fontId="3" type="noConversion"/>
  </si>
  <si>
    <t>전원 불량</t>
    <phoneticPr fontId="3" type="noConversion"/>
  </si>
  <si>
    <t>자체</t>
    <phoneticPr fontId="3" type="noConversion"/>
  </si>
  <si>
    <t>정기수</t>
    <phoneticPr fontId="3" type="noConversion"/>
  </si>
  <si>
    <t>임수성</t>
    <phoneticPr fontId="3" type="noConversion"/>
  </si>
  <si>
    <t>B</t>
    <phoneticPr fontId="3" type="noConversion"/>
  </si>
  <si>
    <t>2T2P</t>
    <phoneticPr fontId="3" type="noConversion"/>
  </si>
  <si>
    <t>WBG</t>
    <phoneticPr fontId="3" type="noConversion"/>
  </si>
  <si>
    <t>Bit error</t>
    <phoneticPr fontId="3" type="noConversion"/>
  </si>
  <si>
    <t>J9 Connecotr 파손 및 Bits Error</t>
    <phoneticPr fontId="3" type="noConversion"/>
  </si>
  <si>
    <t>s/a</t>
    <phoneticPr fontId="3" type="noConversion"/>
  </si>
  <si>
    <t>vibrtory feeder</t>
    <phoneticPr fontId="3" type="noConversion"/>
  </si>
  <si>
    <t>error5 발생</t>
    <phoneticPr fontId="3" type="noConversion"/>
  </si>
  <si>
    <t>ka01703</t>
    <phoneticPr fontId="3" type="noConversion"/>
  </si>
  <si>
    <t>동작불량</t>
    <phoneticPr fontId="3" type="noConversion"/>
  </si>
  <si>
    <t>power supply assy</t>
    <phoneticPr fontId="3" type="noConversion"/>
  </si>
  <si>
    <t>윤여삼</t>
    <phoneticPr fontId="3" type="noConversion"/>
  </si>
  <si>
    <t>AC SERVO DRIVER</t>
    <phoneticPr fontId="3" type="noConversion"/>
  </si>
  <si>
    <t xml:space="preserve">error 20 32 </t>
    <phoneticPr fontId="3" type="noConversion"/>
  </si>
  <si>
    <t>문태범</t>
    <phoneticPr fontId="3" type="noConversion"/>
  </si>
  <si>
    <t xml:space="preserve">bump </t>
    <phoneticPr fontId="3" type="noConversion"/>
  </si>
  <si>
    <t>network hub</t>
    <phoneticPr fontId="3" type="noConversion"/>
  </si>
  <si>
    <t>전원 불량 안들어옴</t>
    <phoneticPr fontId="3" type="noConversion"/>
  </si>
  <si>
    <t>X-Y AMP</t>
    <phoneticPr fontId="3" type="noConversion"/>
  </si>
  <si>
    <t>간헐적 통신불량</t>
    <phoneticPr fontId="3" type="noConversion"/>
  </si>
  <si>
    <t>박순금</t>
    <phoneticPr fontId="3" type="noConversion"/>
  </si>
  <si>
    <t>MD5-ND14</t>
    <phoneticPr fontId="3" type="noConversion"/>
  </si>
  <si>
    <t>Home 위치 못잡음</t>
    <phoneticPr fontId="3" type="noConversion"/>
  </si>
  <si>
    <t>MDK332V-0</t>
    <phoneticPr fontId="3" type="noConversion"/>
  </si>
  <si>
    <t>804008643</t>
    <phoneticPr fontId="3" type="noConversion"/>
  </si>
  <si>
    <t>정기수</t>
    <phoneticPr fontId="3" type="noConversion"/>
  </si>
  <si>
    <t>이상준</t>
    <phoneticPr fontId="3" type="noConversion"/>
  </si>
  <si>
    <t>INVETOR</t>
    <phoneticPr fontId="3" type="noConversion"/>
  </si>
  <si>
    <t xml:space="preserve"> 배기팬 out / 중고 팬 수리하여 장착(SanAce80:24V0.2A)</t>
    <phoneticPr fontId="3" type="noConversion"/>
  </si>
  <si>
    <t>0832800349</t>
    <phoneticPr fontId="3" type="noConversion"/>
  </si>
  <si>
    <t>폐기</t>
    <phoneticPr fontId="3" type="noConversion"/>
  </si>
  <si>
    <t>F</t>
    <phoneticPr fontId="3" type="noConversion"/>
  </si>
  <si>
    <t>5T2P</t>
    <phoneticPr fontId="3" type="noConversion"/>
  </si>
  <si>
    <t>MONITOR</t>
    <phoneticPr fontId="3" type="noConversion"/>
  </si>
  <si>
    <t>전원불량</t>
    <phoneticPr fontId="3" type="noConversion"/>
  </si>
  <si>
    <t>자체</t>
    <phoneticPr fontId="3" type="noConversion"/>
  </si>
  <si>
    <t>정기수</t>
    <phoneticPr fontId="3" type="noConversion"/>
  </si>
  <si>
    <t>강성열</t>
    <phoneticPr fontId="3" type="noConversion"/>
  </si>
  <si>
    <t>F</t>
    <phoneticPr fontId="3" type="noConversion"/>
  </si>
  <si>
    <t>5T2P</t>
    <phoneticPr fontId="3" type="noConversion"/>
  </si>
  <si>
    <t>수리완료</t>
    <phoneticPr fontId="3" type="noConversion"/>
  </si>
  <si>
    <t>Bump</t>
    <phoneticPr fontId="3" type="noConversion"/>
  </si>
  <si>
    <t>6T1P</t>
    <phoneticPr fontId="3" type="noConversion"/>
  </si>
  <si>
    <t>MONITOR</t>
    <phoneticPr fontId="3" type="noConversion"/>
  </si>
  <si>
    <t>자체</t>
    <phoneticPr fontId="3" type="noConversion"/>
  </si>
  <si>
    <t>정기수</t>
    <phoneticPr fontId="3" type="noConversion"/>
  </si>
  <si>
    <t>윤여삼</t>
    <phoneticPr fontId="3" type="noConversion"/>
  </si>
  <si>
    <t>A</t>
    <phoneticPr fontId="3" type="noConversion"/>
  </si>
  <si>
    <t>MONITOR</t>
    <phoneticPr fontId="3" type="noConversion"/>
  </si>
  <si>
    <t>전원 불량</t>
    <phoneticPr fontId="3" type="noConversion"/>
  </si>
  <si>
    <t>정기수</t>
    <phoneticPr fontId="3" type="noConversion"/>
  </si>
  <si>
    <t>자체</t>
    <phoneticPr fontId="3" type="noConversion"/>
  </si>
  <si>
    <t>F</t>
    <phoneticPr fontId="3" type="noConversion"/>
  </si>
  <si>
    <t>정기수</t>
    <phoneticPr fontId="3" type="noConversion"/>
  </si>
  <si>
    <t>KA01703</t>
    <phoneticPr fontId="3" type="noConversion"/>
  </si>
  <si>
    <t>Power off 증상, 고압콘덴서 교체</t>
    <phoneticPr fontId="3" type="noConversion"/>
  </si>
  <si>
    <t>Pherirack Board</t>
    <phoneticPr fontId="3" type="noConversion"/>
  </si>
  <si>
    <t>박제일</t>
    <phoneticPr fontId="3" type="noConversion"/>
  </si>
  <si>
    <t>김재영</t>
    <phoneticPr fontId="3" type="noConversion"/>
  </si>
  <si>
    <t>08888-4304</t>
    <phoneticPr fontId="3" type="noConversion"/>
  </si>
  <si>
    <t>STEPPER CONTROLLER B/D</t>
    <phoneticPr fontId="3" type="noConversion"/>
  </si>
  <si>
    <t>Hybrid</t>
    <phoneticPr fontId="3" type="noConversion"/>
  </si>
  <si>
    <t>PC Main Board</t>
    <phoneticPr fontId="3" type="noConversion"/>
  </si>
  <si>
    <t>1394 Board</t>
    <phoneticPr fontId="3" type="noConversion"/>
  </si>
  <si>
    <t>Offloader</t>
    <phoneticPr fontId="3" type="noConversion"/>
  </si>
  <si>
    <t>Main controller</t>
    <phoneticPr fontId="3" type="noConversion"/>
  </si>
  <si>
    <t>전원 안들어옴 / 6.3A -&gt; 8A 퓨즈 교체</t>
    <phoneticPr fontId="3" type="noConversion"/>
  </si>
  <si>
    <t>한승진</t>
    <phoneticPr fontId="3" type="noConversion"/>
  </si>
  <si>
    <t>W/B/G</t>
    <phoneticPr fontId="3" type="noConversion"/>
  </si>
  <si>
    <t>mr-j3-20b</t>
    <phoneticPr fontId="3" type="noConversion"/>
  </si>
  <si>
    <t>전원 안들어옴</t>
    <phoneticPr fontId="3" type="noConversion"/>
  </si>
  <si>
    <t>최경철</t>
    <phoneticPr fontId="3" type="noConversion"/>
  </si>
  <si>
    <t>EE</t>
    <phoneticPr fontId="3" type="noConversion"/>
  </si>
  <si>
    <t>EE1</t>
    <phoneticPr fontId="3" type="noConversion"/>
  </si>
  <si>
    <t>N/A</t>
    <phoneticPr fontId="3" type="noConversion"/>
  </si>
  <si>
    <t>4113</t>
    <phoneticPr fontId="3" type="noConversion"/>
  </si>
  <si>
    <t>4117</t>
    <phoneticPr fontId="3" type="noConversion"/>
  </si>
  <si>
    <t>외주</t>
    <phoneticPr fontId="3" type="noConversion"/>
  </si>
  <si>
    <t>장은철</t>
    <phoneticPr fontId="3" type="noConversion"/>
  </si>
  <si>
    <t>백윤덕</t>
    <phoneticPr fontId="3" type="noConversion"/>
  </si>
  <si>
    <t>C</t>
    <phoneticPr fontId="3" type="noConversion"/>
  </si>
  <si>
    <t>3T3P</t>
    <phoneticPr fontId="3" type="noConversion"/>
  </si>
  <si>
    <t>101201098</t>
    <phoneticPr fontId="3" type="noConversion"/>
  </si>
  <si>
    <t>Matrox 4 Sight GP</t>
    <phoneticPr fontId="3" type="noConversion"/>
  </si>
  <si>
    <t>Dispensor</t>
    <phoneticPr fontId="3" type="noConversion"/>
  </si>
  <si>
    <t>P/SAW</t>
    <phoneticPr fontId="3" type="noConversion"/>
  </si>
  <si>
    <t>AL 52</t>
    <phoneticPr fontId="3" type="noConversion"/>
  </si>
  <si>
    <t>AL E9</t>
    <phoneticPr fontId="3" type="noConversion"/>
  </si>
  <si>
    <t>현임창</t>
    <phoneticPr fontId="3" type="noConversion"/>
  </si>
  <si>
    <t>수리완료</t>
    <phoneticPr fontId="3" type="noConversion"/>
  </si>
  <si>
    <t>N/A</t>
    <phoneticPr fontId="3" type="noConversion"/>
  </si>
  <si>
    <t>버튼 인식 못함</t>
    <phoneticPr fontId="3" type="noConversion"/>
  </si>
  <si>
    <t>자체</t>
    <phoneticPr fontId="3" type="noConversion"/>
  </si>
  <si>
    <t>정기수</t>
    <phoneticPr fontId="3" type="noConversion"/>
  </si>
  <si>
    <t>전태진</t>
    <phoneticPr fontId="3" type="noConversion"/>
  </si>
  <si>
    <t>SAW</t>
    <phoneticPr fontId="3" type="noConversion"/>
  </si>
  <si>
    <t>vibratory feeder</t>
    <phoneticPr fontId="3" type="noConversion"/>
  </si>
  <si>
    <t>1707ㅊ1910546</t>
    <phoneticPr fontId="3" type="noConversion"/>
  </si>
  <si>
    <t>김정훈</t>
    <phoneticPr fontId="3" type="noConversion"/>
  </si>
  <si>
    <t>mold</t>
    <phoneticPr fontId="3" type="noConversion"/>
  </si>
  <si>
    <t>asm mold i/o b/d</t>
    <phoneticPr fontId="3" type="noConversion"/>
  </si>
  <si>
    <t>ACC Drive</t>
    <phoneticPr fontId="3" type="noConversion"/>
  </si>
  <si>
    <t xml:space="preserve">일력 칩 OP07 교체 </t>
    <phoneticPr fontId="3" type="noConversion"/>
  </si>
  <si>
    <t>4AH0003A</t>
    <phoneticPr fontId="3" type="noConversion"/>
  </si>
  <si>
    <t>HDD Out</t>
    <phoneticPr fontId="3" type="noConversion"/>
  </si>
  <si>
    <t>유창환</t>
    <phoneticPr fontId="3" type="noConversion"/>
  </si>
  <si>
    <t>mold</t>
    <phoneticPr fontId="3" type="noConversion"/>
  </si>
  <si>
    <t>Heater control</t>
    <phoneticPr fontId="3" type="noConversion"/>
  </si>
  <si>
    <t>temp error 발생</t>
    <phoneticPr fontId="3" type="noConversion"/>
  </si>
  <si>
    <t>나승훈</t>
    <phoneticPr fontId="3" type="noConversion"/>
  </si>
  <si>
    <t>SERVO ERROR</t>
    <phoneticPr fontId="3" type="noConversion"/>
  </si>
  <si>
    <t>Widows XP 복구</t>
    <phoneticPr fontId="3" type="noConversion"/>
  </si>
  <si>
    <t>고혜진</t>
    <phoneticPr fontId="3" type="noConversion"/>
  </si>
  <si>
    <t>MC PC</t>
    <phoneticPr fontId="3" type="noConversion"/>
  </si>
  <si>
    <t>전원 안나옴 / 입력 콘덴서와 모든 콘덴서 PWM chip 교체</t>
    <phoneticPr fontId="3" type="noConversion"/>
  </si>
  <si>
    <t>OFFLOADER</t>
    <phoneticPr fontId="3" type="noConversion"/>
  </si>
  <si>
    <t>전원 안나옴 / 저항 4개 및 PWM chip 교체</t>
    <phoneticPr fontId="3" type="noConversion"/>
  </si>
  <si>
    <t>11100607-070</t>
    <phoneticPr fontId="3" type="noConversion"/>
  </si>
  <si>
    <t>서중원</t>
    <phoneticPr fontId="3" type="noConversion"/>
  </si>
  <si>
    <t>PSAW</t>
    <phoneticPr fontId="3" type="noConversion"/>
  </si>
  <si>
    <t>INVERTOR</t>
    <phoneticPr fontId="3" type="noConversion"/>
  </si>
  <si>
    <t>퓨즈 교체</t>
    <phoneticPr fontId="3" type="noConversion"/>
  </si>
  <si>
    <t>12X022AA</t>
    <phoneticPr fontId="3" type="noConversion"/>
  </si>
  <si>
    <t>김대혁</t>
    <phoneticPr fontId="3" type="noConversion"/>
  </si>
  <si>
    <t>폐기</t>
    <phoneticPr fontId="3" type="noConversion"/>
  </si>
  <si>
    <t>QA</t>
    <phoneticPr fontId="3" type="noConversion"/>
  </si>
  <si>
    <t>N/A</t>
    <phoneticPr fontId="3" type="noConversion"/>
  </si>
  <si>
    <t>PLC</t>
    <phoneticPr fontId="3" type="noConversion"/>
  </si>
  <si>
    <t>Board 내부 탔음</t>
    <phoneticPr fontId="3" type="noConversion"/>
  </si>
  <si>
    <t>자체</t>
    <phoneticPr fontId="3" type="noConversion"/>
  </si>
  <si>
    <t>정기수</t>
    <phoneticPr fontId="3" type="noConversion"/>
  </si>
  <si>
    <t>8800 FC</t>
    <phoneticPr fontId="3" type="noConversion"/>
  </si>
  <si>
    <t>LED Light board</t>
    <phoneticPr fontId="3" type="noConversion"/>
  </si>
  <si>
    <t>빛이 약한 LED 10개 교체 백색</t>
    <phoneticPr fontId="3" type="noConversion"/>
  </si>
  <si>
    <t>3T2P</t>
  </si>
  <si>
    <t>L/ABL</t>
    <phoneticPr fontId="3" type="noConversion"/>
  </si>
  <si>
    <t>불량 증상 모름 (error AL062)ALL C</t>
    <phoneticPr fontId="3" type="noConversion"/>
  </si>
  <si>
    <t>장재혁</t>
    <phoneticPr fontId="3" type="noConversion"/>
  </si>
  <si>
    <t>폐기</t>
    <phoneticPr fontId="3" type="noConversion"/>
  </si>
  <si>
    <t>C</t>
    <phoneticPr fontId="3" type="noConversion"/>
  </si>
  <si>
    <t>3T1P</t>
    <phoneticPr fontId="3" type="noConversion"/>
  </si>
  <si>
    <t>IONIZER</t>
    <phoneticPr fontId="3" type="noConversion"/>
  </si>
  <si>
    <t>자체</t>
    <phoneticPr fontId="3" type="noConversion"/>
  </si>
  <si>
    <t>정기수</t>
    <phoneticPr fontId="3" type="noConversion"/>
  </si>
  <si>
    <t>임수성</t>
    <phoneticPr fontId="3" type="noConversion"/>
  </si>
  <si>
    <t>B</t>
    <phoneticPr fontId="3" type="noConversion"/>
  </si>
  <si>
    <t>W/B</t>
    <phoneticPr fontId="3" type="noConversion"/>
  </si>
  <si>
    <t>BITS BOARD</t>
    <phoneticPr fontId="3" type="noConversion"/>
  </si>
  <si>
    <t>자체</t>
    <phoneticPr fontId="3" type="noConversion"/>
  </si>
  <si>
    <t>정기수</t>
    <phoneticPr fontId="3" type="noConversion"/>
  </si>
  <si>
    <t>김경철</t>
    <phoneticPr fontId="3" type="noConversion"/>
  </si>
  <si>
    <t>QA</t>
    <phoneticPr fontId="3" type="noConversion"/>
  </si>
  <si>
    <t>N/A</t>
    <phoneticPr fontId="3" type="noConversion"/>
  </si>
  <si>
    <t>LED LIGHTS CONRTOLLER</t>
    <phoneticPr fontId="3" type="noConversion"/>
  </si>
  <si>
    <t xml:space="preserve"> led control안됨</t>
    <phoneticPr fontId="3" type="noConversion"/>
  </si>
  <si>
    <t>WIRE FEED 안됨</t>
    <phoneticPr fontId="3" type="noConversion"/>
  </si>
  <si>
    <t>정승겸</t>
    <phoneticPr fontId="3" type="noConversion"/>
  </si>
  <si>
    <t>폐기</t>
    <phoneticPr fontId="3" type="noConversion"/>
  </si>
  <si>
    <t>IONIZER</t>
    <phoneticPr fontId="3" type="noConversion"/>
  </si>
  <si>
    <t>동작 안됨</t>
    <phoneticPr fontId="3" type="noConversion"/>
  </si>
  <si>
    <t>자체</t>
    <phoneticPr fontId="3" type="noConversion"/>
  </si>
  <si>
    <t>정기수</t>
    <phoneticPr fontId="3" type="noConversion"/>
  </si>
  <si>
    <t>080500362</t>
    <phoneticPr fontId="3" type="noConversion"/>
  </si>
  <si>
    <t>황을수</t>
    <phoneticPr fontId="3" type="noConversion"/>
  </si>
  <si>
    <t>INDEXER SOLENOID DRIVER BOARD</t>
    <phoneticPr fontId="3" type="noConversion"/>
  </si>
  <si>
    <t>Jamming Error</t>
    <phoneticPr fontId="3" type="noConversion"/>
  </si>
  <si>
    <t>박제일</t>
    <phoneticPr fontId="3" type="noConversion"/>
  </si>
  <si>
    <t>D/A</t>
    <phoneticPr fontId="3" type="noConversion"/>
  </si>
  <si>
    <t>MAIN POWER  SUPPLY</t>
    <phoneticPr fontId="3" type="noConversion"/>
  </si>
  <si>
    <t>박홍규</t>
    <phoneticPr fontId="3" type="noConversion"/>
  </si>
  <si>
    <t>형광 LAMP</t>
    <phoneticPr fontId="3" type="noConversion"/>
  </si>
  <si>
    <t>Switch 교체</t>
    <phoneticPr fontId="3" type="noConversion"/>
  </si>
  <si>
    <t>NSOL PDT Bits CAL Error</t>
    <phoneticPr fontId="3" type="noConversion"/>
  </si>
  <si>
    <t>Bits AGC Error</t>
    <phoneticPr fontId="3" type="noConversion"/>
  </si>
  <si>
    <t>김태식</t>
    <phoneticPr fontId="3" type="noConversion"/>
  </si>
  <si>
    <t>oven</t>
    <phoneticPr fontId="3" type="noConversion"/>
  </si>
  <si>
    <t>led 깜박거림</t>
    <phoneticPr fontId="3" type="noConversion"/>
  </si>
  <si>
    <t>동작안됨</t>
    <phoneticPr fontId="3" type="noConversion"/>
  </si>
  <si>
    <t>신명호</t>
    <phoneticPr fontId="3" type="noConversion"/>
  </si>
  <si>
    <t>toary</t>
    <phoneticPr fontId="3" type="noConversion"/>
  </si>
  <si>
    <t>최재성</t>
    <phoneticPr fontId="3" type="noConversion"/>
  </si>
  <si>
    <t>C/M</t>
    <phoneticPr fontId="3" type="noConversion"/>
  </si>
  <si>
    <t>SIEMENS PC</t>
    <phoneticPr fontId="3" type="noConversion"/>
  </si>
  <si>
    <t xml:space="preserve">atx3 power control b/d </t>
    <phoneticPr fontId="3" type="noConversion"/>
  </si>
  <si>
    <t>강영구</t>
    <phoneticPr fontId="3" type="noConversion"/>
  </si>
  <si>
    <t>박지원</t>
    <phoneticPr fontId="3" type="noConversion"/>
  </si>
  <si>
    <t>tcNCP</t>
    <phoneticPr fontId="3" type="noConversion"/>
  </si>
  <si>
    <t>toray</t>
    <phoneticPr fontId="3" type="noConversion"/>
  </si>
  <si>
    <t xml:space="preserve">safty controller </t>
    <phoneticPr fontId="3" type="noConversion"/>
  </si>
  <si>
    <t>pic18f4550 copy  import export c/s 07c9</t>
    <phoneticPr fontId="3" type="noConversion"/>
  </si>
  <si>
    <t>SGDV-R70A01A</t>
    <phoneticPr fontId="3" type="noConversion"/>
  </si>
  <si>
    <t>7AB Alarm</t>
    <phoneticPr fontId="3" type="noConversion"/>
  </si>
  <si>
    <t>바란스 / 크리닝후 제 조정</t>
    <phoneticPr fontId="3" type="noConversion"/>
  </si>
  <si>
    <t>110100027</t>
    <phoneticPr fontId="3" type="noConversion"/>
  </si>
  <si>
    <t>윤중현</t>
    <phoneticPr fontId="3" type="noConversion"/>
  </si>
  <si>
    <t>MR-J2-20A</t>
    <phoneticPr fontId="3" type="noConversion"/>
  </si>
  <si>
    <t>DEK</t>
    <phoneticPr fontId="3" type="noConversion"/>
  </si>
  <si>
    <t>I/O Board</t>
    <phoneticPr fontId="3" type="noConversion"/>
  </si>
  <si>
    <t>MSD043A1XXV</t>
    <phoneticPr fontId="3" type="noConversion"/>
  </si>
  <si>
    <t>Motor 소음 발생</t>
    <phoneticPr fontId="3" type="noConversion"/>
  </si>
  <si>
    <t>박종현</t>
    <phoneticPr fontId="3" type="noConversion"/>
  </si>
  <si>
    <t>Ball Height 높음</t>
    <phoneticPr fontId="3" type="noConversion"/>
  </si>
  <si>
    <t>Widows 깨짐</t>
    <phoneticPr fontId="3" type="noConversion"/>
  </si>
  <si>
    <t>장재혁</t>
    <phoneticPr fontId="3" type="noConversion"/>
  </si>
  <si>
    <t>MR-J2S-40A</t>
    <phoneticPr fontId="3" type="noConversion"/>
  </si>
  <si>
    <t>장대호</t>
    <phoneticPr fontId="3" type="noConversion"/>
  </si>
  <si>
    <t>power supply assy</t>
    <phoneticPr fontId="3" type="noConversion"/>
  </si>
  <si>
    <t>low power</t>
    <phoneticPr fontId="3" type="noConversion"/>
  </si>
  <si>
    <t>Low Mag Error</t>
    <phoneticPr fontId="3" type="noConversion"/>
  </si>
  <si>
    <t>d/a</t>
    <phoneticPr fontId="3" type="noConversion"/>
  </si>
  <si>
    <t>comera  b/d</t>
    <phoneticPr fontId="3" type="noConversion"/>
  </si>
  <si>
    <t>신명호</t>
    <phoneticPr fontId="3" type="noConversion"/>
  </si>
  <si>
    <t>toray</t>
    <phoneticPr fontId="3" type="noConversion"/>
  </si>
  <si>
    <t>동작불량</t>
    <phoneticPr fontId="3" type="noConversion"/>
  </si>
  <si>
    <t>한미</t>
    <phoneticPr fontId="3" type="noConversion"/>
  </si>
  <si>
    <t>10Key</t>
    <phoneticPr fontId="3" type="noConversion"/>
  </si>
  <si>
    <t>동작 안됨 / 점검 후 이상무</t>
    <phoneticPr fontId="3" type="noConversion"/>
  </si>
  <si>
    <t>20170510-069</t>
    <phoneticPr fontId="3" type="noConversion"/>
  </si>
  <si>
    <t>이태식</t>
    <phoneticPr fontId="3" type="noConversion"/>
  </si>
  <si>
    <t>Program 실행중 Error  // HDD 재설치</t>
    <phoneticPr fontId="3" type="noConversion"/>
  </si>
  <si>
    <t>윤여삼</t>
    <phoneticPr fontId="3" type="noConversion"/>
  </si>
  <si>
    <t>EFO OPEN 알람</t>
    <phoneticPr fontId="3" type="noConversion"/>
  </si>
  <si>
    <t>인식 안됨  short  LL4148 OUT</t>
    <phoneticPr fontId="3" type="noConversion"/>
  </si>
  <si>
    <t>김현만</t>
    <phoneticPr fontId="3" type="noConversion"/>
  </si>
  <si>
    <t xml:space="preserve">motor 회전방향 반대  motor wire 회 &lt;--&gt;백색 </t>
    <phoneticPr fontId="3" type="noConversion"/>
  </si>
  <si>
    <t xml:space="preserve">motor </t>
    <phoneticPr fontId="3" type="noConversion"/>
  </si>
  <si>
    <t>f/c</t>
    <phoneticPr fontId="3" type="noConversion"/>
  </si>
  <si>
    <t>saw</t>
    <phoneticPr fontId="3" type="noConversion"/>
  </si>
  <si>
    <t>disco invert</t>
    <phoneticPr fontId="3" type="noConversion"/>
  </si>
  <si>
    <t xml:space="preserve">fan out </t>
    <phoneticPr fontId="3" type="noConversion"/>
  </si>
  <si>
    <t>수리완료</t>
    <phoneticPr fontId="3" type="noConversion"/>
  </si>
  <si>
    <t>구용회</t>
    <phoneticPr fontId="3" type="noConversion"/>
  </si>
  <si>
    <t>EE</t>
    <phoneticPr fontId="3" type="noConversion"/>
  </si>
  <si>
    <t>EE1</t>
    <phoneticPr fontId="3" type="noConversion"/>
  </si>
  <si>
    <t>W/B</t>
    <phoneticPr fontId="3" type="noConversion"/>
  </si>
  <si>
    <t>동작불량</t>
    <phoneticPr fontId="3" type="noConversion"/>
  </si>
  <si>
    <t>자체</t>
    <phoneticPr fontId="3" type="noConversion"/>
  </si>
  <si>
    <t>정기수</t>
    <phoneticPr fontId="3" type="noConversion"/>
  </si>
  <si>
    <t>유철호</t>
    <phoneticPr fontId="3" type="noConversion"/>
  </si>
  <si>
    <t>EE</t>
    <phoneticPr fontId="3" type="noConversion"/>
  </si>
  <si>
    <t>EE2</t>
    <phoneticPr fontId="3" type="noConversion"/>
  </si>
  <si>
    <t>자체</t>
    <phoneticPr fontId="3" type="noConversion"/>
  </si>
  <si>
    <t>정기수</t>
    <phoneticPr fontId="3" type="noConversion"/>
  </si>
  <si>
    <t>소성환</t>
    <phoneticPr fontId="3" type="noConversion"/>
  </si>
  <si>
    <t>W/B</t>
    <phoneticPr fontId="3" type="noConversion"/>
  </si>
  <si>
    <t>자체</t>
    <phoneticPr fontId="3" type="noConversion"/>
  </si>
  <si>
    <t>정기수</t>
    <phoneticPr fontId="3" type="noConversion"/>
  </si>
  <si>
    <t>허수웅</t>
    <phoneticPr fontId="3" type="noConversion"/>
  </si>
  <si>
    <t>HDD Conector 파손</t>
    <phoneticPr fontId="3" type="noConversion"/>
  </si>
  <si>
    <t>Hand controller</t>
    <phoneticPr fontId="3" type="noConversion"/>
  </si>
  <si>
    <t>패널 파손으로 화면 안나옴 / 패널 입고 교체 수리 완료</t>
    <phoneticPr fontId="3" type="noConversion"/>
  </si>
  <si>
    <t>810481</t>
    <phoneticPr fontId="3" type="noConversion"/>
  </si>
  <si>
    <t>김치균</t>
    <phoneticPr fontId="3" type="noConversion"/>
  </si>
  <si>
    <t>나르미</t>
    <phoneticPr fontId="3" type="noConversion"/>
  </si>
  <si>
    <t>SP-8A</t>
    <phoneticPr fontId="3" type="noConversion"/>
  </si>
  <si>
    <t>통신불량</t>
    <phoneticPr fontId="3" type="noConversion"/>
  </si>
  <si>
    <t>SP-32A</t>
    <phoneticPr fontId="3" type="noConversion"/>
  </si>
  <si>
    <t>박형길</t>
    <phoneticPr fontId="3" type="noConversion"/>
  </si>
  <si>
    <t xml:space="preserve">PART 40N65M5 power </t>
    <phoneticPr fontId="3" type="noConversion"/>
  </si>
  <si>
    <t>이정우</t>
    <phoneticPr fontId="3" type="noConversion"/>
  </si>
  <si>
    <t>C/A</t>
    <phoneticPr fontId="3" type="noConversion"/>
  </si>
  <si>
    <t>ETEL B/D</t>
    <phoneticPr fontId="3" type="noConversion"/>
  </si>
  <si>
    <t>전원안들어옴</t>
    <phoneticPr fontId="3" type="noConversion"/>
  </si>
  <si>
    <t>유완수</t>
    <phoneticPr fontId="3" type="noConversion"/>
  </si>
  <si>
    <t>L/ABL</t>
    <phoneticPr fontId="3" type="noConversion"/>
  </si>
  <si>
    <t xml:space="preserve">DRIVER </t>
    <phoneticPr fontId="3" type="noConversion"/>
  </si>
  <si>
    <t>진선규</t>
    <phoneticPr fontId="3" type="noConversion"/>
  </si>
  <si>
    <t>P/SAW</t>
    <phoneticPr fontId="3" type="noConversion"/>
  </si>
  <si>
    <t>AC servo driver</t>
    <phoneticPr fontId="3" type="noConversion"/>
  </si>
  <si>
    <t>e9 error</t>
    <phoneticPr fontId="3" type="noConversion"/>
  </si>
  <si>
    <t>장재혁</t>
    <phoneticPr fontId="3" type="noConversion"/>
  </si>
  <si>
    <t>vexta driver</t>
    <phoneticPr fontId="3" type="noConversion"/>
  </si>
  <si>
    <t>ALARM발생</t>
    <phoneticPr fontId="3" type="noConversion"/>
  </si>
  <si>
    <t>OUT  error 32</t>
    <phoneticPr fontId="3" type="noConversion"/>
  </si>
  <si>
    <t>강주형</t>
    <phoneticPr fontId="3" type="noConversion"/>
  </si>
  <si>
    <t>EE</t>
    <phoneticPr fontId="3" type="noConversion"/>
  </si>
  <si>
    <t>EE1</t>
    <phoneticPr fontId="3" type="noConversion"/>
  </si>
  <si>
    <t>MONITOR</t>
    <phoneticPr fontId="3" type="noConversion"/>
  </si>
  <si>
    <t>MONITOR</t>
    <phoneticPr fontId="3" type="noConversion"/>
  </si>
  <si>
    <t>빽라이트 나감</t>
    <phoneticPr fontId="3" type="noConversion"/>
  </si>
  <si>
    <t>자체</t>
    <phoneticPr fontId="3" type="noConversion"/>
  </si>
  <si>
    <t>정기수</t>
    <phoneticPr fontId="3" type="noConversion"/>
  </si>
  <si>
    <t>빽아리트,인버터 Board 불량</t>
    <phoneticPr fontId="3" type="noConversion"/>
  </si>
  <si>
    <t>한승진</t>
    <phoneticPr fontId="3" type="noConversion"/>
  </si>
  <si>
    <t>G</t>
    <phoneticPr fontId="3" type="noConversion"/>
  </si>
  <si>
    <t>6T2P</t>
    <phoneticPr fontId="3" type="noConversion"/>
  </si>
  <si>
    <t>ION 값 불량</t>
    <phoneticPr fontId="3" type="noConversion"/>
  </si>
  <si>
    <t>080700528</t>
    <phoneticPr fontId="3" type="noConversion"/>
  </si>
  <si>
    <t>임수성</t>
    <phoneticPr fontId="3" type="noConversion"/>
  </si>
  <si>
    <t>B</t>
    <phoneticPr fontId="3" type="noConversion"/>
  </si>
  <si>
    <t>2T2P</t>
    <phoneticPr fontId="3" type="noConversion"/>
  </si>
  <si>
    <t>S/B/A</t>
    <phoneticPr fontId="3" type="noConversion"/>
  </si>
  <si>
    <t>BPFR B/D</t>
    <phoneticPr fontId="3" type="noConversion"/>
  </si>
  <si>
    <t>한승진</t>
    <phoneticPr fontId="3" type="noConversion"/>
  </si>
  <si>
    <t>폐기</t>
    <phoneticPr fontId="3" type="noConversion"/>
  </si>
  <si>
    <t>*050540094312561*</t>
    <phoneticPr fontId="3" type="noConversion"/>
  </si>
  <si>
    <t>김정훈</t>
    <phoneticPr fontId="3" type="noConversion"/>
  </si>
  <si>
    <t>*07304009424661*</t>
    <phoneticPr fontId="3" type="noConversion"/>
  </si>
  <si>
    <t>정기수</t>
    <phoneticPr fontId="3" type="noConversion"/>
  </si>
  <si>
    <t>수리완료</t>
    <phoneticPr fontId="3" type="noConversion"/>
  </si>
  <si>
    <t>G</t>
    <phoneticPr fontId="3" type="noConversion"/>
  </si>
  <si>
    <t>6T2P</t>
    <phoneticPr fontId="3" type="noConversion"/>
  </si>
  <si>
    <t xml:space="preserve">투명 tape 감지 sensor 제작 </t>
    <phoneticPr fontId="3" type="noConversion"/>
  </si>
  <si>
    <t>sensor i/f</t>
    <phoneticPr fontId="3" type="noConversion"/>
  </si>
  <si>
    <t>LS</t>
    <phoneticPr fontId="3" type="noConversion"/>
  </si>
  <si>
    <t>이세근</t>
    <phoneticPr fontId="3" type="noConversion"/>
  </si>
  <si>
    <t>PP05XA</t>
    <phoneticPr fontId="3" type="noConversion"/>
  </si>
  <si>
    <t>신덕우</t>
    <phoneticPr fontId="3" type="noConversion"/>
  </si>
  <si>
    <t>UPS</t>
    <phoneticPr fontId="3" type="noConversion"/>
  </si>
  <si>
    <t>충전 안됨</t>
    <phoneticPr fontId="3" type="noConversion"/>
  </si>
  <si>
    <t>자체</t>
    <phoneticPr fontId="3" type="noConversion"/>
  </si>
  <si>
    <t>정기수</t>
    <phoneticPr fontId="3" type="noConversion"/>
  </si>
  <si>
    <t>CG079 A02</t>
    <phoneticPr fontId="3" type="noConversion"/>
  </si>
  <si>
    <t>I/F</t>
    <phoneticPr fontId="3" type="noConversion"/>
  </si>
  <si>
    <t>ETHERNET BD</t>
    <phoneticPr fontId="3" type="noConversion"/>
  </si>
  <si>
    <t>AOI</t>
    <phoneticPr fontId="3" type="noConversion"/>
  </si>
  <si>
    <t xml:space="preserve">일정시간지나면 장비 off /CONFIGURATION copy </t>
    <phoneticPr fontId="3" type="noConversion"/>
  </si>
  <si>
    <t>Power Board</t>
    <phoneticPr fontId="3" type="noConversion"/>
  </si>
  <si>
    <t>전원 인가 안됨</t>
    <phoneticPr fontId="3" type="noConversion"/>
  </si>
  <si>
    <t xml:space="preserve">adapter </t>
    <phoneticPr fontId="3" type="noConversion"/>
  </si>
  <si>
    <t xml:space="preserve">5.3v2.6a out </t>
    <phoneticPr fontId="3" type="noConversion"/>
  </si>
  <si>
    <t xml:space="preserve">tcncp </t>
    <phoneticPr fontId="3" type="noConversion"/>
  </si>
  <si>
    <t xml:space="preserve">ultra 3000driver </t>
    <phoneticPr fontId="3" type="noConversion"/>
  </si>
  <si>
    <t xml:space="preserve">ultraweare  --&gt;setup para  copy </t>
    <phoneticPr fontId="3" type="noConversion"/>
  </si>
  <si>
    <t>박중혁</t>
    <phoneticPr fontId="3" type="noConversion"/>
  </si>
  <si>
    <t>화면 안나옴 / 인버터부 퓨즈 out로 교체</t>
    <phoneticPr fontId="3" type="noConversion"/>
  </si>
  <si>
    <t>105316G005098</t>
    <phoneticPr fontId="3" type="noConversion"/>
  </si>
  <si>
    <t>신명호</t>
    <phoneticPr fontId="3" type="noConversion"/>
  </si>
  <si>
    <t>동작불량</t>
    <phoneticPr fontId="3" type="noConversion"/>
  </si>
  <si>
    <t>B</t>
    <phoneticPr fontId="3" type="noConversion"/>
  </si>
  <si>
    <t>2T1P</t>
    <phoneticPr fontId="3" type="noConversion"/>
  </si>
  <si>
    <t>이온값 불량</t>
    <phoneticPr fontId="3" type="noConversion"/>
  </si>
  <si>
    <t>자체</t>
    <phoneticPr fontId="3" type="noConversion"/>
  </si>
  <si>
    <t>정기수</t>
    <phoneticPr fontId="3" type="noConversion"/>
  </si>
  <si>
    <t>송종원</t>
    <phoneticPr fontId="3" type="noConversion"/>
  </si>
  <si>
    <t>김종한</t>
    <phoneticPr fontId="3" type="noConversion"/>
  </si>
  <si>
    <t>ESEC2008</t>
    <phoneticPr fontId="3" type="noConversion"/>
  </si>
  <si>
    <t>12V FAN out / overhaul &amp; Bearing change input Oil</t>
    <phoneticPr fontId="3" type="noConversion"/>
  </si>
  <si>
    <t>전원 불량</t>
    <phoneticPr fontId="3" type="noConversion"/>
  </si>
  <si>
    <t>A</t>
    <phoneticPr fontId="3" type="noConversion"/>
  </si>
  <si>
    <t>1T3P</t>
    <phoneticPr fontId="3" type="noConversion"/>
  </si>
  <si>
    <t>이상준</t>
    <phoneticPr fontId="3" type="noConversion"/>
  </si>
  <si>
    <t>동작불량(error9,error52)</t>
    <phoneticPr fontId="3" type="noConversion"/>
  </si>
  <si>
    <t>Matrox M</t>
    <phoneticPr fontId="3" type="noConversion"/>
  </si>
  <si>
    <t>Consol 창 실행못함 // HDD Change 후 정상</t>
    <phoneticPr fontId="3" type="noConversion"/>
  </si>
  <si>
    <t>PC SMPS</t>
    <phoneticPr fontId="3" type="noConversion"/>
  </si>
  <si>
    <t>과열 및 팬 동작 안함 / 팬 repair 제 장착</t>
    <phoneticPr fontId="3" type="noConversion"/>
  </si>
  <si>
    <t>TCB0490934</t>
    <phoneticPr fontId="3" type="noConversion"/>
  </si>
  <si>
    <t>b/h interconnect b/d</t>
    <phoneticPr fontId="3" type="noConversion"/>
  </si>
  <si>
    <t>동작불량</t>
    <phoneticPr fontId="3" type="noConversion"/>
  </si>
  <si>
    <t>김종훈</t>
    <phoneticPr fontId="3" type="noConversion"/>
  </si>
  <si>
    <t>강주형</t>
    <phoneticPr fontId="3" type="noConversion"/>
  </si>
  <si>
    <t>EE</t>
    <phoneticPr fontId="3" type="noConversion"/>
  </si>
  <si>
    <t>EE1</t>
    <phoneticPr fontId="3" type="noConversion"/>
  </si>
  <si>
    <t>19SICB100</t>
    <phoneticPr fontId="3" type="noConversion"/>
  </si>
  <si>
    <t>전원 안됨</t>
    <phoneticPr fontId="3" type="noConversion"/>
  </si>
  <si>
    <t>자체</t>
    <phoneticPr fontId="3" type="noConversion"/>
  </si>
  <si>
    <t>정기수</t>
    <phoneticPr fontId="3" type="noConversion"/>
  </si>
  <si>
    <t>Marking</t>
    <phoneticPr fontId="3" type="noConversion"/>
  </si>
  <si>
    <t>light controller</t>
    <phoneticPr fontId="3" type="noConversion"/>
  </si>
  <si>
    <t>팬 안돌고 열 남 / 팬 교체 조정</t>
    <phoneticPr fontId="3" type="noConversion"/>
  </si>
  <si>
    <t>2612-B164-1471</t>
    <phoneticPr fontId="3" type="noConversion"/>
  </si>
  <si>
    <t>EFO OPEN</t>
    <phoneticPr fontId="3" type="noConversion"/>
  </si>
  <si>
    <t xml:space="preserve">sensor inter face b/d </t>
    <phoneticPr fontId="3" type="noConversion"/>
  </si>
  <si>
    <t xml:space="preserve">tr array out </t>
    <phoneticPr fontId="3" type="noConversion"/>
  </si>
  <si>
    <t>6250 b/d</t>
    <phoneticPr fontId="3" type="noConversion"/>
  </si>
  <si>
    <t>자체</t>
    <phoneticPr fontId="3" type="noConversion"/>
  </si>
  <si>
    <t>Spool Motor ,BITS 불량</t>
    <phoneticPr fontId="3" type="noConversion"/>
  </si>
  <si>
    <t>BITS BOARD</t>
    <phoneticPr fontId="3" type="noConversion"/>
  </si>
  <si>
    <t>Matrox Board Fan 교체</t>
    <phoneticPr fontId="3" type="noConversion"/>
  </si>
  <si>
    <t>c all change</t>
    <phoneticPr fontId="3" type="noConversion"/>
  </si>
  <si>
    <t>.</t>
    <phoneticPr fontId="3" type="noConversion"/>
  </si>
  <si>
    <t>tr c</t>
    <phoneticPr fontId="3" type="noConversion"/>
  </si>
  <si>
    <t>강영관</t>
    <phoneticPr fontId="3" type="noConversion"/>
  </si>
  <si>
    <t>IN-OUT B/D</t>
    <phoneticPr fontId="3" type="noConversion"/>
  </si>
  <si>
    <t>차한호</t>
    <phoneticPr fontId="3" type="noConversion"/>
  </si>
  <si>
    <t>saw</t>
    <phoneticPr fontId="3" type="noConversion"/>
  </si>
  <si>
    <t>pack driver</t>
    <phoneticPr fontId="3" type="noConversion"/>
  </si>
  <si>
    <t>동작불량</t>
    <phoneticPr fontId="3" type="noConversion"/>
  </si>
  <si>
    <t>over heater erorr</t>
    <phoneticPr fontId="3" type="noConversion"/>
  </si>
  <si>
    <t>고규식</t>
    <phoneticPr fontId="3" type="noConversion"/>
  </si>
  <si>
    <t>temp controller</t>
    <phoneticPr fontId="3" type="noConversion"/>
  </si>
  <si>
    <t>고영광</t>
    <phoneticPr fontId="3" type="noConversion"/>
  </si>
  <si>
    <t>Hang Up 현상</t>
    <phoneticPr fontId="3" type="noConversion"/>
  </si>
  <si>
    <t>Motor Error</t>
    <phoneticPr fontId="3" type="noConversion"/>
  </si>
  <si>
    <t>X-RAY</t>
    <phoneticPr fontId="3" type="noConversion"/>
  </si>
  <si>
    <t>Main Board</t>
    <phoneticPr fontId="3" type="noConversion"/>
  </si>
  <si>
    <t>35861283091</t>
    <phoneticPr fontId="3" type="noConversion"/>
  </si>
  <si>
    <t>부팅안되고 HDD 에러 나옴 / 백업 하드 카피하여 장착 모든 DATA Copy</t>
    <phoneticPr fontId="3" type="noConversion"/>
  </si>
  <si>
    <t>2T2P</t>
    <phoneticPr fontId="3" type="noConversion"/>
  </si>
  <si>
    <t>BITS 불량</t>
    <phoneticPr fontId="3" type="noConversion"/>
  </si>
  <si>
    <t>power supply assy</t>
    <phoneticPr fontId="3" type="noConversion"/>
  </si>
  <si>
    <t>전원 불량</t>
    <phoneticPr fontId="3" type="noConversion"/>
  </si>
  <si>
    <t>ka34417</t>
    <phoneticPr fontId="3" type="noConversion"/>
  </si>
  <si>
    <t>Windows 불량 HDD 교체</t>
    <phoneticPr fontId="3" type="noConversion"/>
  </si>
  <si>
    <t>프로그램 연결시 ::: 표시</t>
    <phoneticPr fontId="3" type="noConversion"/>
  </si>
  <si>
    <t>유창환</t>
    <phoneticPr fontId="3" type="noConversion"/>
  </si>
  <si>
    <t>power supply</t>
    <phoneticPr fontId="3" type="noConversion"/>
  </si>
  <si>
    <t>출력안됨</t>
    <phoneticPr fontId="3" type="noConversion"/>
  </si>
  <si>
    <t>이성문</t>
    <phoneticPr fontId="3" type="noConversion"/>
  </si>
  <si>
    <t>A21SB-08UY04</t>
    <phoneticPr fontId="3" type="noConversion"/>
  </si>
  <si>
    <t xml:space="preserve">ultraweare para  copy </t>
    <phoneticPr fontId="3" type="noConversion"/>
  </si>
  <si>
    <t>윤여삼</t>
    <phoneticPr fontId="3" type="noConversion"/>
  </si>
  <si>
    <t>A</t>
    <phoneticPr fontId="3" type="noConversion"/>
  </si>
  <si>
    <t>BITS 안됨</t>
    <phoneticPr fontId="3" type="noConversion"/>
  </si>
  <si>
    <t>자체</t>
    <phoneticPr fontId="3" type="noConversion"/>
  </si>
  <si>
    <t>정기수</t>
    <phoneticPr fontId="3" type="noConversion"/>
  </si>
  <si>
    <t>AGV</t>
    <phoneticPr fontId="3" type="noConversion"/>
  </si>
  <si>
    <t>산업 PC</t>
    <phoneticPr fontId="3" type="noConversion"/>
  </si>
  <si>
    <t>전원 안 들어옴 / DC-DC 컨버터부 파손</t>
    <phoneticPr fontId="3" type="noConversion"/>
  </si>
  <si>
    <t>전력보드</t>
    <phoneticPr fontId="3" type="noConversion"/>
  </si>
  <si>
    <t>전원 안들어옴 / 전원 입력선 빠짐</t>
    <phoneticPr fontId="3" type="noConversion"/>
  </si>
  <si>
    <t>pana driver</t>
    <phoneticPr fontId="3" type="noConversion"/>
  </si>
  <si>
    <t>MOTOR CONTROL 안됨</t>
    <phoneticPr fontId="3" type="noConversion"/>
  </si>
  <si>
    <t>화면어두움</t>
    <phoneticPr fontId="3" type="noConversion"/>
  </si>
  <si>
    <t>Initial Fail</t>
    <phoneticPr fontId="3" type="noConversion"/>
  </si>
  <si>
    <t>전원 안들어옴 / 콘넥터 빠져 연결 제 조립</t>
    <phoneticPr fontId="3" type="noConversion"/>
  </si>
  <si>
    <t>1440004</t>
    <phoneticPr fontId="3" type="noConversion"/>
  </si>
  <si>
    <t>소성환</t>
    <phoneticPr fontId="3" type="noConversion"/>
  </si>
  <si>
    <t>power supply assy</t>
    <phoneticPr fontId="3" type="noConversion"/>
  </si>
  <si>
    <t>low power</t>
    <phoneticPr fontId="3" type="noConversion"/>
  </si>
  <si>
    <t>Half Stepper BD 4166</t>
    <phoneticPr fontId="3" type="noConversion"/>
  </si>
  <si>
    <t>Y-Axis Home Error</t>
    <phoneticPr fontId="3" type="noConversion"/>
  </si>
  <si>
    <t>6250 b/d</t>
    <phoneticPr fontId="3" type="noConversion"/>
  </si>
  <si>
    <t>6200 b/d</t>
    <phoneticPr fontId="3" type="noConversion"/>
  </si>
  <si>
    <t>강성인</t>
    <phoneticPr fontId="3" type="noConversion"/>
  </si>
  <si>
    <t>Motor control</t>
    <phoneticPr fontId="3" type="noConversion"/>
  </si>
  <si>
    <t>작동 이상 / 전원부 퓨즈 2개 0.5A</t>
    <phoneticPr fontId="3" type="noConversion"/>
  </si>
  <si>
    <t>14S01</t>
    <phoneticPr fontId="3" type="noConversion"/>
  </si>
  <si>
    <t>OFFICE</t>
    <phoneticPr fontId="3" type="noConversion"/>
  </si>
  <si>
    <t>김형수</t>
    <phoneticPr fontId="3" type="noConversion"/>
  </si>
  <si>
    <t>oven</t>
    <phoneticPr fontId="3" type="noConversion"/>
  </si>
  <si>
    <t>출력불량</t>
    <phoneticPr fontId="3" type="noConversion"/>
  </si>
  <si>
    <t>강영관</t>
    <phoneticPr fontId="3" type="noConversion"/>
  </si>
  <si>
    <t>MONITOR</t>
    <phoneticPr fontId="3" type="noConversion"/>
  </si>
  <si>
    <t>Touch Monitor</t>
    <phoneticPr fontId="3" type="noConversion"/>
  </si>
  <si>
    <t>터치 불량 /TEST 정상 확인</t>
    <phoneticPr fontId="3" type="noConversion"/>
  </si>
  <si>
    <t>정기수</t>
    <phoneticPr fontId="3" type="noConversion"/>
  </si>
  <si>
    <t>장유생</t>
    <phoneticPr fontId="3" type="noConversion"/>
  </si>
  <si>
    <t>w/h interface b/d</t>
    <phoneticPr fontId="3" type="noConversion"/>
  </si>
  <si>
    <t>12v출력안됨</t>
    <phoneticPr fontId="3" type="noConversion"/>
  </si>
  <si>
    <t>최경철</t>
    <phoneticPr fontId="3" type="noConversion"/>
  </si>
  <si>
    <t>수리완료</t>
    <phoneticPr fontId="3" type="noConversion"/>
  </si>
  <si>
    <t>EE</t>
    <phoneticPr fontId="3" type="noConversion"/>
  </si>
  <si>
    <t>EE1</t>
    <phoneticPr fontId="3" type="noConversion"/>
  </si>
  <si>
    <t>접촉 불량</t>
    <phoneticPr fontId="3" type="noConversion"/>
  </si>
  <si>
    <t>자체</t>
    <phoneticPr fontId="3" type="noConversion"/>
  </si>
  <si>
    <t>정기수</t>
    <phoneticPr fontId="3" type="noConversion"/>
  </si>
  <si>
    <t>c/a</t>
    <phoneticPr fontId="3" type="noConversion"/>
  </si>
  <si>
    <t>f/c</t>
    <phoneticPr fontId="3" type="noConversion"/>
  </si>
  <si>
    <t>김종근</t>
    <phoneticPr fontId="3" type="noConversion"/>
  </si>
  <si>
    <t>김철우</t>
    <phoneticPr fontId="3" type="noConversion"/>
  </si>
  <si>
    <t xml:space="preserve"> laser controller</t>
  </si>
  <si>
    <t>power 안나옴</t>
    <phoneticPr fontId="3" type="noConversion"/>
  </si>
  <si>
    <t xml:space="preserve">1.5KE-250A OUT </t>
    <phoneticPr fontId="3" type="noConversion"/>
  </si>
  <si>
    <t>강영관</t>
    <phoneticPr fontId="3" type="noConversion"/>
  </si>
  <si>
    <t>김영환</t>
    <phoneticPr fontId="3" type="noConversion"/>
  </si>
  <si>
    <t>정기수</t>
    <phoneticPr fontId="3" type="noConversion"/>
  </si>
  <si>
    <t>자체</t>
    <phoneticPr fontId="3" type="noConversion"/>
  </si>
  <si>
    <t>화면 너무 밝아 화면 안보임 / 패널 입고 교체 수리완료</t>
    <phoneticPr fontId="3" type="noConversion"/>
  </si>
  <si>
    <t>이충식</t>
    <phoneticPr fontId="3" type="noConversion"/>
  </si>
  <si>
    <t>Flux Cleaner</t>
    <phoneticPr fontId="3" type="noConversion"/>
  </si>
  <si>
    <t>inverter</t>
    <phoneticPr fontId="3" type="noConversion"/>
  </si>
  <si>
    <t>burn out</t>
    <phoneticPr fontId="3" type="noConversion"/>
  </si>
  <si>
    <t>FAN 안돌아감 /Fan ,고압 교체</t>
    <phoneticPr fontId="3" type="noConversion"/>
  </si>
  <si>
    <t>김철웅</t>
    <phoneticPr fontId="3" type="noConversion"/>
  </si>
  <si>
    <t>l/abl</t>
    <phoneticPr fontId="3" type="noConversion"/>
  </si>
  <si>
    <t>power supply</t>
    <phoneticPr fontId="3" type="noConversion"/>
  </si>
  <si>
    <t>출력불량</t>
    <phoneticPr fontId="3" type="noConversion"/>
  </si>
  <si>
    <t>parts feeder</t>
    <phoneticPr fontId="3" type="noConversion"/>
  </si>
  <si>
    <t>유창환</t>
    <phoneticPr fontId="3" type="noConversion"/>
  </si>
  <si>
    <t>mold</t>
    <phoneticPr fontId="3" type="noConversion"/>
  </si>
  <si>
    <t>p saw</t>
    <phoneticPr fontId="3" type="noConversion"/>
  </si>
  <si>
    <t>led light</t>
    <phoneticPr fontId="3" type="noConversion"/>
  </si>
  <si>
    <t xml:space="preserve"> c &amp; fuse</t>
    <phoneticPr fontId="3" type="noConversion"/>
  </si>
  <si>
    <t xml:space="preserve">ch1 ch2 out ch1~ch4 모두 24v 나와야함 </t>
    <phoneticPr fontId="3" type="noConversion"/>
  </si>
  <si>
    <t>전원 죽음 // 24VDC Fan 쇼트로 인한 전원 Out // Fan 교체</t>
    <phoneticPr fontId="3" type="noConversion"/>
  </si>
  <si>
    <t>신덕우</t>
    <phoneticPr fontId="3" type="noConversion"/>
  </si>
  <si>
    <t>scan</t>
    <phoneticPr fontId="3" type="noConversion"/>
  </si>
  <si>
    <t>POWER SUPPLY 700W</t>
    <phoneticPr fontId="3" type="noConversion"/>
  </si>
  <si>
    <t>한광식</t>
    <phoneticPr fontId="3" type="noConversion"/>
  </si>
  <si>
    <t>수리완료</t>
    <phoneticPr fontId="3" type="noConversion"/>
  </si>
  <si>
    <t>C</t>
    <phoneticPr fontId="3" type="noConversion"/>
  </si>
  <si>
    <t>F</t>
    <phoneticPr fontId="3" type="noConversion"/>
  </si>
  <si>
    <t>EFO Box</t>
    <phoneticPr fontId="3" type="noConversion"/>
  </si>
  <si>
    <t>Spark 안튀김</t>
    <phoneticPr fontId="3" type="noConversion"/>
  </si>
  <si>
    <t>장대호</t>
    <phoneticPr fontId="3" type="noConversion"/>
  </si>
  <si>
    <t>B</t>
    <phoneticPr fontId="3" type="noConversion"/>
  </si>
  <si>
    <t>수리완료</t>
    <phoneticPr fontId="3" type="noConversion"/>
  </si>
  <si>
    <t>BIG BALL</t>
    <phoneticPr fontId="3" type="noConversion"/>
  </si>
  <si>
    <t>정기수</t>
    <phoneticPr fontId="3" type="noConversion"/>
  </si>
  <si>
    <t>전원 안나옴</t>
    <phoneticPr fontId="3" type="noConversion"/>
  </si>
  <si>
    <t>유창환</t>
    <phoneticPr fontId="3" type="noConversion"/>
  </si>
  <si>
    <t>mold</t>
    <phoneticPr fontId="3" type="noConversion"/>
  </si>
  <si>
    <t>출력불량</t>
    <phoneticPr fontId="3" type="noConversion"/>
  </si>
  <si>
    <t>김태규</t>
    <phoneticPr fontId="3" type="noConversion"/>
  </si>
  <si>
    <t>박영준</t>
    <phoneticPr fontId="3" type="noConversion"/>
  </si>
  <si>
    <t>MR-J2S-20A</t>
    <phoneticPr fontId="3" type="noConversion"/>
  </si>
  <si>
    <t>E9</t>
    <phoneticPr fontId="3" type="noConversion"/>
  </si>
  <si>
    <t>wbg</t>
    <phoneticPr fontId="3" type="noConversion"/>
  </si>
  <si>
    <t>mr-j3-10b-e1e</t>
    <phoneticPr fontId="3" type="noConversion"/>
  </si>
  <si>
    <t>전원 out /</t>
    <phoneticPr fontId="3" type="noConversion"/>
  </si>
  <si>
    <t>박영준</t>
    <phoneticPr fontId="3" type="noConversion"/>
  </si>
  <si>
    <t>전원 안나옴 / 모든 콘덴서 TR 교체</t>
    <phoneticPr fontId="3" type="noConversion"/>
  </si>
  <si>
    <t>TCFC</t>
    <phoneticPr fontId="3" type="noConversion"/>
  </si>
  <si>
    <t>전원 안나옴 / 내부 콘덴서 교체</t>
    <phoneticPr fontId="3" type="noConversion"/>
  </si>
  <si>
    <t>윤여삼</t>
    <phoneticPr fontId="3" type="noConversion"/>
  </si>
  <si>
    <t>power supply assy</t>
    <phoneticPr fontId="3" type="noConversion"/>
  </si>
  <si>
    <t>출력불량</t>
    <phoneticPr fontId="3" type="noConversion"/>
  </si>
  <si>
    <t>ka33678</t>
    <phoneticPr fontId="3" type="noConversion"/>
  </si>
  <si>
    <t>f/c</t>
    <phoneticPr fontId="3" type="noConversion"/>
  </si>
  <si>
    <t xml:space="preserve">sensor controller </t>
    <phoneticPr fontId="3" type="noConversion"/>
  </si>
  <si>
    <t xml:space="preserve">spark 발생으로 senser on/off 안됨 </t>
    <phoneticPr fontId="3" type="noConversion"/>
  </si>
  <si>
    <t>disPLAY 안됨</t>
    <phoneticPr fontId="3" type="noConversion"/>
  </si>
  <si>
    <t>ATEP</t>
    <phoneticPr fontId="3" type="noConversion"/>
  </si>
  <si>
    <t>N/A</t>
    <phoneticPr fontId="3" type="noConversion"/>
  </si>
  <si>
    <t>Door Opener I/O Board</t>
  </si>
  <si>
    <t>Door Opener I/O Board</t>
    <phoneticPr fontId="3" type="noConversion"/>
  </si>
  <si>
    <t>DI2010938</t>
  </si>
  <si>
    <t>DI2400120</t>
    <phoneticPr fontId="3" type="noConversion"/>
  </si>
  <si>
    <t>이동규</t>
    <phoneticPr fontId="3" type="noConversion"/>
  </si>
  <si>
    <t>PLASAMA</t>
    <phoneticPr fontId="3" type="noConversion"/>
  </si>
  <si>
    <t>Bottom PC</t>
    <phoneticPr fontId="3" type="noConversion"/>
  </si>
  <si>
    <t>Scan</t>
    <phoneticPr fontId="3" type="noConversion"/>
  </si>
  <si>
    <t>윤여삼</t>
    <phoneticPr fontId="3" type="noConversion"/>
  </si>
  <si>
    <t>Matrox X MB</t>
    <phoneticPr fontId="3" type="noConversion"/>
  </si>
  <si>
    <t>Blue Screen</t>
    <phoneticPr fontId="3" type="noConversion"/>
  </si>
  <si>
    <t>Z축 DOWN / TEST 대기</t>
    <phoneticPr fontId="3" type="noConversion"/>
  </si>
  <si>
    <t>Z축 DOWN /TEST 대기</t>
    <phoneticPr fontId="3" type="noConversion"/>
  </si>
  <si>
    <t>정기수</t>
    <phoneticPr fontId="3" type="noConversion"/>
  </si>
  <si>
    <t>정기수</t>
    <phoneticPr fontId="3" type="noConversion"/>
  </si>
  <si>
    <t>김재영</t>
    <phoneticPr fontId="3" type="noConversion"/>
  </si>
  <si>
    <t>이성문</t>
    <phoneticPr fontId="3" type="noConversion"/>
  </si>
  <si>
    <t>유창환</t>
    <phoneticPr fontId="3" type="noConversion"/>
  </si>
  <si>
    <t>mold</t>
    <phoneticPr fontId="3" type="noConversion"/>
  </si>
  <si>
    <t>power supply</t>
    <phoneticPr fontId="3" type="noConversion"/>
  </si>
  <si>
    <t>출력불량</t>
    <phoneticPr fontId="3" type="noConversion"/>
  </si>
  <si>
    <t>장대호</t>
    <phoneticPr fontId="3" type="noConversion"/>
  </si>
  <si>
    <t>SERVO PC</t>
    <phoneticPr fontId="3" type="noConversion"/>
  </si>
  <si>
    <t>부팅 안됨 / 모든 콘덴서 및 미니 TTL 4 교체</t>
    <phoneticPr fontId="3" type="noConversion"/>
  </si>
  <si>
    <t>1778309</t>
    <phoneticPr fontId="3" type="noConversion"/>
  </si>
  <si>
    <t>SBA</t>
    <phoneticPr fontId="3" type="noConversion"/>
  </si>
  <si>
    <t>ServoPack</t>
    <phoneticPr fontId="3" type="noConversion"/>
  </si>
  <si>
    <t>D0098E747620026</t>
    <phoneticPr fontId="3" type="noConversion"/>
  </si>
  <si>
    <t>DISPLAY  ON/OFF</t>
    <phoneticPr fontId="3" type="noConversion"/>
  </si>
  <si>
    <t xml:space="preserve">ALL </t>
    <phoneticPr fontId="3" type="noConversion"/>
  </si>
  <si>
    <t xml:space="preserve">온습 프린터 </t>
    <phoneticPr fontId="3" type="noConversion"/>
  </si>
  <si>
    <t xml:space="preserve">1256 IC </t>
    <phoneticPr fontId="3" type="noConversion"/>
  </si>
  <si>
    <t>이신희</t>
    <phoneticPr fontId="3" type="noConversion"/>
  </si>
  <si>
    <t>1T3P</t>
    <phoneticPr fontId="3" type="noConversion"/>
  </si>
  <si>
    <t>Touch Monitor</t>
    <phoneticPr fontId="3" type="noConversion"/>
  </si>
  <si>
    <t>전원 불량,화면 어두움/빽라이트 교체</t>
    <phoneticPr fontId="3" type="noConversion"/>
  </si>
  <si>
    <t>자체</t>
    <phoneticPr fontId="3" type="noConversion"/>
  </si>
  <si>
    <t>정기수</t>
    <phoneticPr fontId="3" type="noConversion"/>
  </si>
  <si>
    <t>A</t>
    <phoneticPr fontId="3" type="noConversion"/>
  </si>
  <si>
    <t>1T3P</t>
    <phoneticPr fontId="3" type="noConversion"/>
  </si>
  <si>
    <t>드라이버 동작 불량</t>
    <phoneticPr fontId="3" type="noConversion"/>
  </si>
  <si>
    <t>정기수</t>
    <phoneticPr fontId="3" type="noConversion"/>
  </si>
  <si>
    <t>Battery Change</t>
    <phoneticPr fontId="3" type="noConversion"/>
  </si>
  <si>
    <t>DPU060-B</t>
    <phoneticPr fontId="3" type="noConversion"/>
  </si>
  <si>
    <t>Low Power // 무상반출</t>
    <phoneticPr fontId="3" type="noConversion"/>
  </si>
  <si>
    <t>F/C</t>
    <phoneticPr fontId="3" type="noConversion"/>
  </si>
  <si>
    <t>SMT</t>
    <phoneticPr fontId="3" type="noConversion"/>
  </si>
  <si>
    <t>PC</t>
    <phoneticPr fontId="3" type="noConversion"/>
  </si>
  <si>
    <t>김재영</t>
    <phoneticPr fontId="3" type="noConversion"/>
  </si>
  <si>
    <t>power supply</t>
    <phoneticPr fontId="3" type="noConversion"/>
  </si>
  <si>
    <t>출력불량</t>
    <phoneticPr fontId="3" type="noConversion"/>
  </si>
  <si>
    <t>유창환</t>
    <phoneticPr fontId="3" type="noConversion"/>
  </si>
  <si>
    <t>전원 안들어옴</t>
    <phoneticPr fontId="3" type="noConversion"/>
  </si>
  <si>
    <t>나르미II</t>
    <phoneticPr fontId="3" type="noConversion"/>
  </si>
  <si>
    <t>냉땜과 chip 불량</t>
    <phoneticPr fontId="3" type="noConversion"/>
  </si>
  <si>
    <t>최경철</t>
    <phoneticPr fontId="3" type="noConversion"/>
  </si>
  <si>
    <t>동작불량</t>
    <phoneticPr fontId="3" type="noConversion"/>
  </si>
  <si>
    <t>김현만</t>
    <phoneticPr fontId="3" type="noConversion"/>
  </si>
  <si>
    <t>최경철</t>
    <phoneticPr fontId="3" type="noConversion"/>
  </si>
  <si>
    <t>NEW PACK PARA COPY</t>
    <phoneticPr fontId="3" type="noConversion"/>
  </si>
  <si>
    <t xml:space="preserve">과 전류 14 IGBT </t>
    <phoneticPr fontId="3" type="noConversion"/>
  </si>
  <si>
    <t>김재영</t>
    <phoneticPr fontId="3" type="noConversion"/>
  </si>
  <si>
    <t xml:space="preserve">SAW </t>
    <phoneticPr fontId="3" type="noConversion"/>
  </si>
  <si>
    <t>최경철</t>
    <phoneticPr fontId="3" type="noConversion"/>
  </si>
  <si>
    <t>AC servo driver</t>
    <phoneticPr fontId="3" type="noConversion"/>
  </si>
  <si>
    <t>동작불량</t>
    <phoneticPr fontId="3" type="noConversion"/>
  </si>
  <si>
    <t>김현만</t>
    <phoneticPr fontId="3" type="noConversion"/>
  </si>
  <si>
    <t>외주</t>
    <phoneticPr fontId="3" type="noConversion"/>
  </si>
  <si>
    <t>큐텍코리아</t>
    <phoneticPr fontId="3" type="noConversion"/>
  </si>
  <si>
    <t>Panel 불량</t>
    <phoneticPr fontId="3" type="noConversion"/>
  </si>
  <si>
    <t>wbg</t>
    <phoneticPr fontId="3" type="noConversion"/>
  </si>
  <si>
    <t>display 안됨</t>
    <phoneticPr fontId="3" type="noConversion"/>
  </si>
  <si>
    <t>USB Camera</t>
    <phoneticPr fontId="3" type="noConversion"/>
  </si>
  <si>
    <t>USB 단자 파손 // USB 커넥터 재연결</t>
    <phoneticPr fontId="3" type="noConversion"/>
  </si>
  <si>
    <t>C Fol C/A</t>
    <phoneticPr fontId="3" type="noConversion"/>
  </si>
  <si>
    <t>메인 컬트롤 보드</t>
    <phoneticPr fontId="3" type="noConversion"/>
  </si>
  <si>
    <t>통신용 USB B type connent 파손으로 교체</t>
    <phoneticPr fontId="3" type="noConversion"/>
  </si>
  <si>
    <t>VNBXC7VX5B</t>
    <phoneticPr fontId="3" type="noConversion"/>
  </si>
  <si>
    <t>C/M</t>
    <phoneticPr fontId="3" type="noConversion"/>
  </si>
  <si>
    <t>CONPONENT CAMERA</t>
    <phoneticPr fontId="3" type="noConversion"/>
  </si>
  <si>
    <t>김환묵</t>
    <phoneticPr fontId="3" type="noConversion"/>
  </si>
  <si>
    <t>L/ABL</t>
    <phoneticPr fontId="3" type="noConversion"/>
  </si>
  <si>
    <t>TEN KEY</t>
    <phoneticPr fontId="3" type="noConversion"/>
  </si>
  <si>
    <t>Panel,전원 불량</t>
    <phoneticPr fontId="3" type="noConversion"/>
  </si>
  <si>
    <t>빽라이트나감</t>
    <phoneticPr fontId="3" type="noConversion"/>
  </si>
  <si>
    <t>KA09190</t>
    <phoneticPr fontId="3" type="noConversion"/>
  </si>
  <si>
    <t>화면 어두움 / 패널 불량</t>
    <phoneticPr fontId="3" type="noConversion"/>
  </si>
  <si>
    <t xml:space="preserve">SOLDER </t>
    <phoneticPr fontId="3" type="noConversion"/>
  </si>
  <si>
    <t>전원부</t>
    <phoneticPr fontId="3" type="noConversion"/>
  </si>
  <si>
    <t>전원부 OUT / Diode 구매 입고되어 수리 완료</t>
    <phoneticPr fontId="3" type="noConversion"/>
  </si>
  <si>
    <t>홍학선</t>
    <phoneticPr fontId="3" type="noConversion"/>
  </si>
  <si>
    <t>EE</t>
    <phoneticPr fontId="3" type="noConversion"/>
  </si>
  <si>
    <t>EE2</t>
    <phoneticPr fontId="3" type="noConversion"/>
  </si>
  <si>
    <t>정기수</t>
    <phoneticPr fontId="3" type="noConversion"/>
  </si>
  <si>
    <t>김현만</t>
    <phoneticPr fontId="3" type="noConversion"/>
  </si>
  <si>
    <t>수리완료</t>
    <phoneticPr fontId="3" type="noConversion"/>
  </si>
  <si>
    <t>김종훈</t>
    <phoneticPr fontId="3" type="noConversion"/>
  </si>
  <si>
    <t>datacon</t>
    <phoneticPr fontId="3" type="noConversion"/>
  </si>
  <si>
    <t>smi b/d</t>
    <phoneticPr fontId="3" type="noConversion"/>
  </si>
  <si>
    <t>fuse out</t>
    <phoneticPr fontId="3" type="noConversion"/>
  </si>
  <si>
    <t>김정훈</t>
    <phoneticPr fontId="3" type="noConversion"/>
  </si>
  <si>
    <t>자체</t>
    <phoneticPr fontId="3" type="noConversion"/>
  </si>
  <si>
    <t>정기수</t>
    <phoneticPr fontId="3" type="noConversion"/>
  </si>
  <si>
    <t>윤여삼</t>
    <phoneticPr fontId="3" type="noConversion"/>
  </si>
  <si>
    <t>MONITOR</t>
    <phoneticPr fontId="3" type="noConversion"/>
  </si>
  <si>
    <t>화면 안나옴</t>
    <phoneticPr fontId="3" type="noConversion"/>
  </si>
  <si>
    <t>인터넷 연결 안됨 // Lan Card Drvier 재설치</t>
    <phoneticPr fontId="3" type="noConversion"/>
  </si>
  <si>
    <t>6200 b/d</t>
    <phoneticPr fontId="3" type="noConversion"/>
  </si>
  <si>
    <t>모터 떨림 &gt; TLP350(2EA Burn),  Module(Burn) 교체</t>
    <phoneticPr fontId="3" type="noConversion"/>
  </si>
  <si>
    <t>이신희</t>
    <phoneticPr fontId="3" type="noConversion"/>
  </si>
  <si>
    <t>PC가 장비 IDLE 상태나 가동 중에 재부팅이 됨</t>
    <phoneticPr fontId="3" type="noConversion"/>
  </si>
  <si>
    <t>정기수</t>
    <phoneticPr fontId="3" type="noConversion"/>
  </si>
  <si>
    <t>Plassma</t>
    <phoneticPr fontId="3" type="noConversion"/>
  </si>
  <si>
    <t>N/A</t>
    <phoneticPr fontId="3" type="noConversion"/>
  </si>
  <si>
    <t>양강호</t>
    <phoneticPr fontId="3" type="noConversion"/>
  </si>
  <si>
    <t>oven</t>
    <phoneticPr fontId="3" type="noConversion"/>
  </si>
  <si>
    <t>temp controller</t>
    <phoneticPr fontId="3" type="noConversion"/>
  </si>
  <si>
    <t>led 깜박거림</t>
    <phoneticPr fontId="3" type="noConversion"/>
  </si>
  <si>
    <t>이광열</t>
    <phoneticPr fontId="3" type="noConversion"/>
  </si>
  <si>
    <t>PLC CPU</t>
    <phoneticPr fontId="3" type="noConversion"/>
  </si>
  <si>
    <t>Invertor</t>
    <phoneticPr fontId="3" type="noConversion"/>
  </si>
  <si>
    <t>24VDC Fan 죽음</t>
    <phoneticPr fontId="3" type="noConversion"/>
  </si>
  <si>
    <t>f/c</t>
    <phoneticPr fontId="3" type="noConversion"/>
  </si>
  <si>
    <t>MR-J2S-20A z축 TR 축</t>
    <phoneticPr fontId="3" type="noConversion"/>
  </si>
  <si>
    <t>SPAIR 2개 PARA' WRITE</t>
    <phoneticPr fontId="3" type="noConversion"/>
  </si>
  <si>
    <t>Power Supply</t>
    <phoneticPr fontId="3" type="noConversion"/>
  </si>
  <si>
    <t>Condenser Burn</t>
    <phoneticPr fontId="3" type="noConversion"/>
  </si>
  <si>
    <t>NSOL, Motor 동작 에러</t>
    <phoneticPr fontId="3" type="noConversion"/>
  </si>
  <si>
    <t>NSOL Error</t>
    <phoneticPr fontId="3" type="noConversion"/>
  </si>
  <si>
    <t>메인 PC</t>
    <phoneticPr fontId="3" type="noConversion"/>
  </si>
  <si>
    <t>부팅 안됨 / SATA 케이블 및 CPU 보드 제조립</t>
    <phoneticPr fontId="3" type="noConversion"/>
  </si>
  <si>
    <t>박근종</t>
    <phoneticPr fontId="3" type="noConversion"/>
  </si>
  <si>
    <t>충전드릴</t>
    <phoneticPr fontId="3" type="noConversion"/>
  </si>
  <si>
    <t>유창환</t>
    <phoneticPr fontId="3" type="noConversion"/>
  </si>
  <si>
    <t>power supply</t>
    <phoneticPr fontId="3" type="noConversion"/>
  </si>
  <si>
    <t>출력안됨</t>
    <phoneticPr fontId="3" type="noConversion"/>
  </si>
  <si>
    <t>센서 값 떨림</t>
    <phoneticPr fontId="3" type="noConversion"/>
  </si>
  <si>
    <t>Sensor Board</t>
    <phoneticPr fontId="3" type="noConversion"/>
  </si>
  <si>
    <t>Sputter</t>
    <phoneticPr fontId="3" type="noConversion"/>
  </si>
  <si>
    <t>03060500169</t>
    <phoneticPr fontId="3" type="noConversion"/>
  </si>
  <si>
    <t>자체</t>
    <phoneticPr fontId="3" type="noConversion"/>
  </si>
  <si>
    <t>*101540094242736*</t>
    <phoneticPr fontId="3" type="noConversion"/>
  </si>
  <si>
    <t>박법규</t>
    <phoneticPr fontId="3" type="noConversion"/>
  </si>
  <si>
    <t>C</t>
    <phoneticPr fontId="3" type="noConversion"/>
  </si>
  <si>
    <t>윤영완</t>
    <phoneticPr fontId="3" type="noConversion"/>
  </si>
  <si>
    <t>SMT</t>
    <phoneticPr fontId="3" type="noConversion"/>
  </si>
  <si>
    <t>PC</t>
    <phoneticPr fontId="3" type="noConversion"/>
  </si>
  <si>
    <t>POWER 불량</t>
    <phoneticPr fontId="3" type="noConversion"/>
  </si>
  <si>
    <t>OUTPUT TURMINAR</t>
    <phoneticPr fontId="3" type="noConversion"/>
  </si>
  <si>
    <t>TOWA</t>
    <phoneticPr fontId="3" type="noConversion"/>
  </si>
  <si>
    <t>VISION PC</t>
    <phoneticPr fontId="3" type="noConversion"/>
  </si>
  <si>
    <t>C/A</t>
    <phoneticPr fontId="3" type="noConversion"/>
  </si>
  <si>
    <t>김재영</t>
    <phoneticPr fontId="3" type="noConversion"/>
  </si>
  <si>
    <t>SOLDER</t>
    <phoneticPr fontId="3" type="noConversion"/>
  </si>
  <si>
    <t>이성문</t>
    <phoneticPr fontId="3" type="noConversion"/>
  </si>
  <si>
    <t>AI28-01</t>
    <phoneticPr fontId="3" type="noConversion"/>
  </si>
  <si>
    <t>ENCODER CABLE</t>
    <phoneticPr fontId="3" type="noConversion"/>
  </si>
  <si>
    <t>ESF150-24</t>
    <phoneticPr fontId="3" type="noConversion"/>
  </si>
  <si>
    <t>고압콘덴서 터짐 // 모든 콘덴서 교체</t>
    <phoneticPr fontId="3" type="noConversion"/>
  </si>
  <si>
    <t>Main Board, 외부 Fan 죽음</t>
    <phoneticPr fontId="3" type="noConversion"/>
  </si>
  <si>
    <t>사용중 어두워짐</t>
    <phoneticPr fontId="3" type="noConversion"/>
  </si>
  <si>
    <t>C/A</t>
    <phoneticPr fontId="3" type="noConversion"/>
  </si>
  <si>
    <t>DISPLAY 불량</t>
    <phoneticPr fontId="3" type="noConversion"/>
  </si>
  <si>
    <t>oven</t>
    <phoneticPr fontId="3" type="noConversion"/>
  </si>
  <si>
    <t>display  불량</t>
    <phoneticPr fontId="3" type="noConversion"/>
  </si>
  <si>
    <t>BPS-8200S</t>
    <phoneticPr fontId="3" type="noConversion"/>
  </si>
  <si>
    <t>ESF300-24</t>
    <phoneticPr fontId="3" type="noConversion"/>
  </si>
  <si>
    <t>FBDGI16595</t>
    <phoneticPr fontId="3" type="noConversion"/>
  </si>
  <si>
    <t>폐기</t>
    <phoneticPr fontId="3" type="noConversion"/>
  </si>
  <si>
    <t>yaskawa driver</t>
    <phoneticPr fontId="3" type="noConversion"/>
  </si>
  <si>
    <t xml:space="preserve">SYSTEM ERROR /top b/d는 good 임 current sensor good </t>
    <phoneticPr fontId="3" type="noConversion"/>
  </si>
  <si>
    <t>심두섭</t>
    <phoneticPr fontId="3" type="noConversion"/>
  </si>
  <si>
    <t>수리완료</t>
    <phoneticPr fontId="3" type="noConversion"/>
  </si>
  <si>
    <t>EE1</t>
    <phoneticPr fontId="3" type="noConversion"/>
  </si>
  <si>
    <t>EE</t>
    <phoneticPr fontId="3" type="noConversion"/>
  </si>
  <si>
    <t>System PC</t>
    <phoneticPr fontId="3" type="noConversion"/>
  </si>
  <si>
    <t>PC 전원 안켜짐</t>
    <phoneticPr fontId="3" type="noConversion"/>
  </si>
  <si>
    <t>자체</t>
    <phoneticPr fontId="3" type="noConversion"/>
  </si>
  <si>
    <t>정기수</t>
    <phoneticPr fontId="3" type="noConversion"/>
  </si>
  <si>
    <t>FICO</t>
    <phoneticPr fontId="3" type="noConversion"/>
  </si>
  <si>
    <t>PLC UPS</t>
    <phoneticPr fontId="3" type="noConversion"/>
  </si>
  <si>
    <t>error / 배터리 12V 1.3A (LC-R121R3P_PANASONIC)</t>
    <phoneticPr fontId="3" type="noConversion"/>
  </si>
  <si>
    <t>3012910269</t>
    <phoneticPr fontId="3" type="noConversion"/>
  </si>
  <si>
    <t>error / 배터리 out</t>
    <phoneticPr fontId="3" type="noConversion"/>
  </si>
  <si>
    <t>3313117628</t>
    <phoneticPr fontId="3" type="noConversion"/>
  </si>
  <si>
    <t>최재규</t>
    <phoneticPr fontId="3" type="noConversion"/>
  </si>
  <si>
    <t>P</t>
    <phoneticPr fontId="3" type="noConversion"/>
  </si>
  <si>
    <t>1T1P</t>
    <phoneticPr fontId="3" type="noConversion"/>
  </si>
  <si>
    <t>Mold</t>
    <phoneticPr fontId="3" type="noConversion"/>
  </si>
  <si>
    <t>정기수</t>
    <phoneticPr fontId="3" type="noConversion"/>
  </si>
  <si>
    <t>TOUCH 안됨</t>
    <phoneticPr fontId="3" type="noConversion"/>
  </si>
  <si>
    <t>동작 불량</t>
    <phoneticPr fontId="3" type="noConversion"/>
  </si>
  <si>
    <t>out 710 740 error</t>
    <phoneticPr fontId="3" type="noConversion"/>
  </si>
  <si>
    <t>as servo maddr1207</t>
    <phoneticPr fontId="3" type="noConversion"/>
  </si>
  <si>
    <t>error 14</t>
    <phoneticPr fontId="3" type="noConversion"/>
  </si>
  <si>
    <t>김진욱</t>
    <phoneticPr fontId="3" type="noConversion"/>
  </si>
  <si>
    <t>power supply</t>
    <phoneticPr fontId="3" type="noConversion"/>
  </si>
  <si>
    <t>출력안됨</t>
    <phoneticPr fontId="3" type="noConversion"/>
  </si>
  <si>
    <t>S/A</t>
    <phoneticPr fontId="3" type="noConversion"/>
  </si>
  <si>
    <t>장재혁</t>
    <phoneticPr fontId="3" type="noConversion"/>
  </si>
  <si>
    <t>OSP Claner</t>
    <phoneticPr fontId="3" type="noConversion"/>
  </si>
  <si>
    <t xml:space="preserve">배터리 교체 </t>
    <phoneticPr fontId="3" type="noConversion"/>
  </si>
  <si>
    <t>김선일</t>
    <phoneticPr fontId="3" type="noConversion"/>
  </si>
  <si>
    <t>팬 안돌아감 / 알람 울림</t>
    <phoneticPr fontId="3" type="noConversion"/>
  </si>
  <si>
    <t>자체</t>
    <phoneticPr fontId="3" type="noConversion"/>
  </si>
  <si>
    <t>정기수</t>
    <phoneticPr fontId="3" type="noConversion"/>
  </si>
  <si>
    <t>tcncp</t>
    <phoneticPr fontId="3" type="noConversion"/>
  </si>
  <si>
    <t>PCOAB CPU Board</t>
    <phoneticPr fontId="3" type="noConversion"/>
  </si>
  <si>
    <t>Consol 창에서 먹통 // 초기화 후 재설치</t>
    <phoneticPr fontId="3" type="noConversion"/>
  </si>
  <si>
    <t>MK</t>
    <phoneticPr fontId="3" type="noConversion"/>
  </si>
  <si>
    <t>팬</t>
    <phoneticPr fontId="3" type="noConversion"/>
  </si>
  <si>
    <t>팬 out로 구매 / 입고되어 수리 완료 팬커버 가공</t>
    <phoneticPr fontId="3" type="noConversion"/>
  </si>
  <si>
    <t>*044040094312527*</t>
    <phoneticPr fontId="3" type="noConversion"/>
  </si>
  <si>
    <t>5T1P</t>
    <phoneticPr fontId="3" type="noConversion"/>
  </si>
  <si>
    <t>안성환</t>
  </si>
  <si>
    <t>폐기</t>
    <phoneticPr fontId="3" type="noConversion"/>
  </si>
  <si>
    <t>자체</t>
    <phoneticPr fontId="3" type="noConversion"/>
  </si>
  <si>
    <t>정기수</t>
    <phoneticPr fontId="3" type="noConversion"/>
  </si>
  <si>
    <t>박영준</t>
    <phoneticPr fontId="3" type="noConversion"/>
  </si>
  <si>
    <t>ac servo driver</t>
    <phoneticPr fontId="3" type="noConversion"/>
  </si>
  <si>
    <t>e9 error</t>
    <phoneticPr fontId="3" type="noConversion"/>
  </si>
  <si>
    <t xml:space="preserve">화면 흐릿함 </t>
    <phoneticPr fontId="3" type="noConversion"/>
  </si>
  <si>
    <t>신명호</t>
    <phoneticPr fontId="3" type="noConversion"/>
  </si>
  <si>
    <t>dispensor</t>
    <phoneticPr fontId="3" type="noConversion"/>
  </si>
  <si>
    <t>out 7ab</t>
    <phoneticPr fontId="3" type="noConversion"/>
  </si>
  <si>
    <t>lift up/down controller b/d</t>
    <phoneticPr fontId="3" type="noConversion"/>
  </si>
  <si>
    <t>송종원</t>
  </si>
  <si>
    <t>이온값 불량</t>
    <phoneticPr fontId="3" type="noConversion"/>
  </si>
  <si>
    <t>정기수</t>
    <phoneticPr fontId="3" type="noConversion"/>
  </si>
  <si>
    <t>전원 안나옴 / 출력 콘덴서 교체</t>
    <phoneticPr fontId="3" type="noConversion"/>
  </si>
  <si>
    <t>F100722574</t>
    <phoneticPr fontId="3" type="noConversion"/>
  </si>
  <si>
    <t>SAW</t>
    <phoneticPr fontId="3" type="noConversion"/>
  </si>
  <si>
    <t>김정석</t>
    <phoneticPr fontId="3" type="noConversion"/>
  </si>
  <si>
    <t>빽라이트 교체</t>
    <phoneticPr fontId="3" type="noConversion"/>
  </si>
  <si>
    <t>신현섭</t>
    <phoneticPr fontId="3" type="noConversion"/>
  </si>
  <si>
    <t>초음파 세척기</t>
    <phoneticPr fontId="3" type="noConversion"/>
  </si>
  <si>
    <t>전원 출력 안됨 / 모든 콘덴서 교체</t>
    <phoneticPr fontId="3" type="noConversion"/>
  </si>
  <si>
    <t>H1012045862</t>
    <phoneticPr fontId="3" type="noConversion"/>
  </si>
  <si>
    <t>김두환</t>
    <phoneticPr fontId="3" type="noConversion"/>
  </si>
  <si>
    <t>C/M</t>
    <phoneticPr fontId="3" type="noConversion"/>
  </si>
  <si>
    <t>정봉석</t>
    <phoneticPr fontId="3" type="noConversion"/>
  </si>
  <si>
    <t>Automation</t>
    <phoneticPr fontId="3" type="noConversion"/>
  </si>
  <si>
    <t>Wire 결선</t>
    <phoneticPr fontId="3" type="noConversion"/>
  </si>
  <si>
    <t>Optocoupler wiring 20EA</t>
    <phoneticPr fontId="3" type="noConversion"/>
  </si>
  <si>
    <t>Optocoupler wiring 27EA</t>
    <phoneticPr fontId="3" type="noConversion"/>
  </si>
  <si>
    <t>PKG SAW</t>
    <phoneticPr fontId="3" type="noConversion"/>
  </si>
  <si>
    <t>DC-DC PC Power supply</t>
    <phoneticPr fontId="3" type="noConversion"/>
  </si>
  <si>
    <t>전암 안나옴 / 모든 콘덴서 교체</t>
    <phoneticPr fontId="3" type="noConversion"/>
  </si>
  <si>
    <t>14/07-0802</t>
    <phoneticPr fontId="3" type="noConversion"/>
  </si>
  <si>
    <t>14/29-0802</t>
    <phoneticPr fontId="3" type="noConversion"/>
  </si>
  <si>
    <t>백윤덕</t>
    <phoneticPr fontId="3" type="noConversion"/>
  </si>
  <si>
    <t>*111140094312899*</t>
    <phoneticPr fontId="3" type="noConversion"/>
  </si>
  <si>
    <t xml:space="preserve">Power off 됨 atx3 I/F OUT </t>
    <phoneticPr fontId="3" type="noConversion"/>
  </si>
  <si>
    <t>윤여삼</t>
    <phoneticPr fontId="3" type="noConversion"/>
  </si>
  <si>
    <t>Digital Mult tester</t>
    <phoneticPr fontId="3" type="noConversion"/>
  </si>
  <si>
    <t>전류 측정 안됨 / 측정단자 내부 퓨즈 500mm &amp; 10A 교체</t>
    <phoneticPr fontId="3" type="noConversion"/>
  </si>
  <si>
    <t>최경철</t>
    <phoneticPr fontId="3" type="noConversion"/>
  </si>
  <si>
    <t>최경철</t>
    <phoneticPr fontId="3" type="noConversion"/>
  </si>
  <si>
    <t>동작불량</t>
    <phoneticPr fontId="3" type="noConversion"/>
  </si>
  <si>
    <t>PC Power supply</t>
    <phoneticPr fontId="3" type="noConversion"/>
  </si>
  <si>
    <t>전원 안나옴 /</t>
    <phoneticPr fontId="3" type="noConversion"/>
  </si>
  <si>
    <t>ION 값 불량</t>
    <phoneticPr fontId="3" type="noConversion"/>
  </si>
  <si>
    <t>자체</t>
    <phoneticPr fontId="3" type="noConversion"/>
  </si>
  <si>
    <t>정기수</t>
    <phoneticPr fontId="3" type="noConversion"/>
  </si>
  <si>
    <t>d/c</t>
    <phoneticPr fontId="3" type="noConversion"/>
  </si>
  <si>
    <t xml:space="preserve">out </t>
    <phoneticPr fontId="3" type="noConversion"/>
  </si>
  <si>
    <t xml:space="preserve">flax cable out </t>
    <phoneticPr fontId="3" type="noConversion"/>
  </si>
  <si>
    <t>신덕우</t>
    <phoneticPr fontId="3" type="noConversion"/>
  </si>
  <si>
    <t>AGC Error, Green Light Out</t>
    <phoneticPr fontId="3" type="noConversion"/>
  </si>
  <si>
    <t>남형주</t>
    <phoneticPr fontId="3" type="noConversion"/>
  </si>
  <si>
    <t>최대웅</t>
    <phoneticPr fontId="3" type="noConversion"/>
  </si>
  <si>
    <t>wbg</t>
    <phoneticPr fontId="3" type="noConversion"/>
  </si>
  <si>
    <t>mr-j3-10b</t>
    <phoneticPr fontId="3" type="noConversion"/>
  </si>
  <si>
    <t xml:space="preserve">유성수 </t>
    <phoneticPr fontId="3" type="noConversion"/>
  </si>
  <si>
    <t>vsp-1250s</t>
    <phoneticPr fontId="3" type="noConversion"/>
  </si>
  <si>
    <t xml:space="preserve">charge 불량 </t>
    <phoneticPr fontId="3" type="noConversion"/>
  </si>
  <si>
    <t>Cable 단선</t>
    <phoneticPr fontId="3" type="noConversion"/>
  </si>
  <si>
    <t>유창환</t>
    <phoneticPr fontId="3" type="noConversion"/>
  </si>
  <si>
    <t>POWER SUPPLY</t>
    <phoneticPr fontId="3" type="noConversion"/>
  </si>
  <si>
    <t>출력불량</t>
    <phoneticPr fontId="3" type="noConversion"/>
  </si>
  <si>
    <t>F</t>
    <phoneticPr fontId="3" type="noConversion"/>
  </si>
  <si>
    <t>5T1P</t>
    <phoneticPr fontId="3" type="noConversion"/>
  </si>
  <si>
    <t>MONITOR</t>
    <phoneticPr fontId="3" type="noConversion"/>
  </si>
  <si>
    <t>빽라이트나감</t>
    <phoneticPr fontId="3" type="noConversion"/>
  </si>
  <si>
    <t>자체</t>
    <phoneticPr fontId="3" type="noConversion"/>
  </si>
  <si>
    <t>정기수</t>
    <phoneticPr fontId="3" type="noConversion"/>
  </si>
  <si>
    <t>Inter mec ease coder</t>
    <phoneticPr fontId="3" type="noConversion"/>
  </si>
  <si>
    <t xml:space="preserve">Label printer </t>
    <phoneticPr fontId="3" type="noConversion"/>
  </si>
  <si>
    <t>error 발생 / 모터 드라이브 칩 L298L 및 저항</t>
    <phoneticPr fontId="3" type="noConversion"/>
  </si>
  <si>
    <t>3400E21000400</t>
    <phoneticPr fontId="3" type="noConversion"/>
  </si>
  <si>
    <t>박민수</t>
    <phoneticPr fontId="3" type="noConversion"/>
  </si>
  <si>
    <t>scanner</t>
    <phoneticPr fontId="3" type="noConversion"/>
  </si>
  <si>
    <t>OP Board</t>
    <phoneticPr fontId="3" type="noConversion"/>
  </si>
  <si>
    <t>Hivolt SW out / 구매 교환</t>
    <phoneticPr fontId="3" type="noConversion"/>
  </si>
  <si>
    <t>210-115</t>
    <phoneticPr fontId="3" type="noConversion"/>
  </si>
  <si>
    <t>유창환</t>
    <phoneticPr fontId="3" type="noConversion"/>
  </si>
  <si>
    <t>Motor Speed Controller</t>
    <phoneticPr fontId="3" type="noConversion"/>
  </si>
  <si>
    <t>오순종</t>
    <phoneticPr fontId="3" type="noConversion"/>
  </si>
  <si>
    <t>진재훈</t>
    <phoneticPr fontId="3" type="noConversion"/>
  </si>
  <si>
    <t>수리완료</t>
    <phoneticPr fontId="3" type="noConversion"/>
  </si>
  <si>
    <t>EE</t>
    <phoneticPr fontId="3" type="noConversion"/>
  </si>
  <si>
    <t>EE1</t>
    <phoneticPr fontId="3" type="noConversion"/>
  </si>
  <si>
    <t>MONITOR</t>
    <phoneticPr fontId="3" type="noConversion"/>
  </si>
  <si>
    <t>뺵라이트 교체 후 고정바 공작실 의뢰</t>
    <phoneticPr fontId="3" type="noConversion"/>
  </si>
  <si>
    <t>자체</t>
    <phoneticPr fontId="3" type="noConversion"/>
  </si>
  <si>
    <t>정기수</t>
    <phoneticPr fontId="3" type="noConversion"/>
  </si>
  <si>
    <t>MwanWell SMPS</t>
    <phoneticPr fontId="3" type="noConversion"/>
  </si>
  <si>
    <t>24V 31.3A SMPS로 내부 완전 타서 수리 불가</t>
    <phoneticPr fontId="3" type="noConversion"/>
  </si>
  <si>
    <t>PCI Connector 파손으로 인한 Booting Fail</t>
    <phoneticPr fontId="3" type="noConversion"/>
  </si>
  <si>
    <t>김진만</t>
    <phoneticPr fontId="3" type="noConversion"/>
  </si>
  <si>
    <t>B</t>
    <phoneticPr fontId="3" type="noConversion"/>
  </si>
  <si>
    <t>2T3P</t>
    <phoneticPr fontId="3" type="noConversion"/>
  </si>
  <si>
    <t>IONIZER</t>
    <phoneticPr fontId="3" type="noConversion"/>
  </si>
  <si>
    <t>마이너스 고압 아웃</t>
    <phoneticPr fontId="3" type="noConversion"/>
  </si>
  <si>
    <t>자체</t>
    <phoneticPr fontId="3" type="noConversion"/>
  </si>
  <si>
    <t>정기수</t>
    <phoneticPr fontId="3" type="noConversion"/>
  </si>
  <si>
    <t>Hivolt SW out / 3단으로 제구매 교환</t>
    <phoneticPr fontId="3" type="noConversion"/>
  </si>
  <si>
    <t>빨간불 들어옴</t>
    <phoneticPr fontId="3" type="noConversion"/>
  </si>
  <si>
    <t xml:space="preserve">안세왕 </t>
    <phoneticPr fontId="3" type="noConversion"/>
  </si>
  <si>
    <t>reflow</t>
    <phoneticPr fontId="3" type="noConversion"/>
  </si>
  <si>
    <t>fr-e720-0.4k</t>
    <phoneticPr fontId="3" type="noConversion"/>
  </si>
  <si>
    <t xml:space="preserve">OL OV  ERROR  점검 </t>
    <phoneticPr fontId="3" type="noConversion"/>
  </si>
  <si>
    <t>최경철</t>
    <phoneticPr fontId="3" type="noConversion"/>
  </si>
  <si>
    <t>동작불량</t>
    <phoneticPr fontId="3" type="noConversion"/>
  </si>
  <si>
    <t>PNP</t>
    <phoneticPr fontId="3" type="noConversion"/>
  </si>
  <si>
    <t>고압 콘덴서 출력 불안정</t>
    <phoneticPr fontId="3" type="noConversion"/>
  </si>
  <si>
    <t>34097</t>
    <phoneticPr fontId="3" type="noConversion"/>
  </si>
  <si>
    <t>WYSP-150S24A</t>
    <phoneticPr fontId="3" type="noConversion"/>
  </si>
  <si>
    <t>Capacitor Out</t>
    <phoneticPr fontId="3" type="noConversion"/>
  </si>
  <si>
    <t>SUNNEX Type LS</t>
    <phoneticPr fontId="3" type="noConversion"/>
  </si>
  <si>
    <t>PLC CPU B/D</t>
    <phoneticPr fontId="3" type="noConversion"/>
  </si>
  <si>
    <t>폐기</t>
    <phoneticPr fontId="3" type="noConversion"/>
  </si>
  <si>
    <t>QA</t>
    <phoneticPr fontId="3" type="noConversion"/>
  </si>
  <si>
    <t>080500362</t>
    <phoneticPr fontId="3" type="noConversion"/>
  </si>
  <si>
    <t>ION 값 불량, 오랜 사용으로 인한 폐기</t>
    <phoneticPr fontId="3" type="noConversion"/>
  </si>
  <si>
    <t>자체</t>
    <phoneticPr fontId="3" type="noConversion"/>
  </si>
  <si>
    <t>정기수</t>
    <phoneticPr fontId="3" type="noConversion"/>
  </si>
  <si>
    <t>IONIZER</t>
    <phoneticPr fontId="3" type="noConversion"/>
  </si>
  <si>
    <t>폐기 요청</t>
    <phoneticPr fontId="3" type="noConversion"/>
  </si>
  <si>
    <t>*111140094242781*</t>
    <phoneticPr fontId="3" type="noConversion"/>
  </si>
  <si>
    <t>강영관</t>
    <phoneticPr fontId="3" type="noConversion"/>
  </si>
  <si>
    <t xml:space="preserve">saw </t>
    <phoneticPr fontId="3" type="noConversion"/>
  </si>
  <si>
    <t>adapter</t>
    <phoneticPr fontId="3" type="noConversion"/>
  </si>
  <si>
    <t xml:space="preserve">5.3v2.6a out </t>
    <phoneticPr fontId="3" type="noConversion"/>
  </si>
  <si>
    <t xml:space="preserve">안세왕 </t>
    <phoneticPr fontId="3" type="noConversion"/>
  </si>
  <si>
    <t>tcncp</t>
    <phoneticPr fontId="3" type="noConversion"/>
  </si>
  <si>
    <t xml:space="preserve">motor </t>
    <phoneticPr fontId="3" type="noConversion"/>
  </si>
  <si>
    <t>encode test 점검</t>
    <phoneticPr fontId="3" type="noConversion"/>
  </si>
  <si>
    <t>최정훈</t>
    <phoneticPr fontId="3" type="noConversion"/>
  </si>
  <si>
    <t>김재영</t>
    <phoneticPr fontId="3" type="noConversion"/>
  </si>
  <si>
    <t>수리완료</t>
    <phoneticPr fontId="3" type="noConversion"/>
  </si>
  <si>
    <t>A</t>
    <phoneticPr fontId="3" type="noConversion"/>
  </si>
  <si>
    <t>MONITOR</t>
    <phoneticPr fontId="3" type="noConversion"/>
  </si>
  <si>
    <t>MONITOR</t>
    <phoneticPr fontId="3" type="noConversion"/>
  </si>
  <si>
    <t>공장초기화</t>
    <phoneticPr fontId="3" type="noConversion"/>
  </si>
  <si>
    <t>자체</t>
    <phoneticPr fontId="3" type="noConversion"/>
  </si>
  <si>
    <t>정기수</t>
    <phoneticPr fontId="3" type="noConversion"/>
  </si>
  <si>
    <t>김정훈</t>
    <phoneticPr fontId="3" type="noConversion"/>
  </si>
  <si>
    <t>MOLD</t>
    <phoneticPr fontId="3" type="noConversion"/>
  </si>
  <si>
    <t>7CH" FUSE OUT</t>
    <phoneticPr fontId="3" type="noConversion"/>
  </si>
  <si>
    <t>임수성</t>
    <phoneticPr fontId="3" type="noConversion"/>
  </si>
  <si>
    <t>B</t>
    <phoneticPr fontId="3" type="noConversion"/>
  </si>
  <si>
    <t>뺵라이트  OUT</t>
    <phoneticPr fontId="3" type="noConversion"/>
  </si>
  <si>
    <t>자체</t>
    <phoneticPr fontId="3" type="noConversion"/>
  </si>
  <si>
    <t>정기수</t>
    <phoneticPr fontId="3" type="noConversion"/>
  </si>
  <si>
    <t>자체</t>
    <phoneticPr fontId="3" type="noConversion"/>
  </si>
  <si>
    <t>Windows 불량 HDD 교체 및 COPY</t>
    <phoneticPr fontId="3" type="noConversion"/>
  </si>
  <si>
    <t>김효천</t>
    <phoneticPr fontId="3" type="noConversion"/>
  </si>
  <si>
    <t>동작불량</t>
    <phoneticPr fontId="3" type="noConversion"/>
  </si>
  <si>
    <t>Flash Memory Out</t>
    <phoneticPr fontId="3" type="noConversion"/>
  </si>
  <si>
    <t>조형욱</t>
    <phoneticPr fontId="3" type="noConversion"/>
  </si>
  <si>
    <t>HSF ERROR</t>
    <phoneticPr fontId="3" type="noConversion"/>
  </si>
  <si>
    <t>유완수</t>
    <phoneticPr fontId="3" type="noConversion"/>
  </si>
  <si>
    <t>수리완료</t>
    <phoneticPr fontId="3" type="noConversion"/>
  </si>
  <si>
    <t>C</t>
    <phoneticPr fontId="3" type="noConversion"/>
  </si>
  <si>
    <t>3T3P</t>
    <phoneticPr fontId="3" type="noConversion"/>
  </si>
  <si>
    <t>빽라이트 ,어댑터 수리 완료</t>
    <phoneticPr fontId="3" type="noConversion"/>
  </si>
  <si>
    <t>자체</t>
    <phoneticPr fontId="3" type="noConversion"/>
  </si>
  <si>
    <t>정기수</t>
    <phoneticPr fontId="3" type="noConversion"/>
  </si>
  <si>
    <t>이민우</t>
    <phoneticPr fontId="3" type="noConversion"/>
  </si>
  <si>
    <t>FIB- DRCU Board</t>
  </si>
  <si>
    <t>영상보드</t>
    <phoneticPr fontId="3" type="noConversion"/>
  </si>
  <si>
    <r>
      <t xml:space="preserve">영상 4ch중 1ch만 나옴 / 내부 12V </t>
    </r>
    <r>
      <rPr>
        <sz val="9"/>
        <color theme="1"/>
        <rFont val="맑은 고딕"/>
        <family val="3"/>
        <charset val="129"/>
      </rPr>
      <t>± 전압 불안정 인트로 콘덴서 교체</t>
    </r>
    <phoneticPr fontId="3" type="noConversion"/>
  </si>
  <si>
    <t>4022 192 9627</t>
    <phoneticPr fontId="3" type="noConversion"/>
  </si>
  <si>
    <t>페널</t>
    <phoneticPr fontId="3" type="noConversion"/>
  </si>
  <si>
    <t>강영구</t>
    <phoneticPr fontId="3" type="noConversion"/>
  </si>
  <si>
    <t xml:space="preserve">melsevo setup PC </t>
    <phoneticPr fontId="3" type="noConversion"/>
  </si>
  <si>
    <t xml:space="preserve">Mother bd 수리 및 program setup </t>
    <phoneticPr fontId="3" type="noConversion"/>
  </si>
  <si>
    <t>전명원</t>
    <phoneticPr fontId="3" type="noConversion"/>
  </si>
  <si>
    <t>수리완료</t>
    <phoneticPr fontId="3" type="noConversion"/>
  </si>
  <si>
    <t>EE</t>
    <phoneticPr fontId="3" type="noConversion"/>
  </si>
  <si>
    <t>EE1</t>
    <phoneticPr fontId="3" type="noConversion"/>
  </si>
  <si>
    <t>천천히 화면 어두워짐</t>
    <phoneticPr fontId="3" type="noConversion"/>
  </si>
  <si>
    <t>24V 33A SMPS 전 콘덴서 교체</t>
    <phoneticPr fontId="3" type="noConversion"/>
  </si>
  <si>
    <t>038601355</t>
    <phoneticPr fontId="3" type="noConversion"/>
  </si>
  <si>
    <t>신명호</t>
    <phoneticPr fontId="3" type="noConversion"/>
  </si>
  <si>
    <t>출력안됨</t>
    <phoneticPr fontId="3" type="noConversion"/>
  </si>
  <si>
    <t>K4</t>
    <phoneticPr fontId="3" type="noConversion"/>
  </si>
  <si>
    <t>C Line 경광등 설치</t>
    <phoneticPr fontId="3" type="noConversion"/>
  </si>
  <si>
    <t>김경철</t>
    <phoneticPr fontId="3" type="noConversion"/>
  </si>
  <si>
    <t>QA</t>
    <phoneticPr fontId="3" type="noConversion"/>
  </si>
  <si>
    <t>자체</t>
    <phoneticPr fontId="3" type="noConversion"/>
  </si>
  <si>
    <t>정기수</t>
    <phoneticPr fontId="3" type="noConversion"/>
  </si>
  <si>
    <t>지춘길</t>
    <phoneticPr fontId="3" type="noConversion"/>
  </si>
  <si>
    <t>환경</t>
    <phoneticPr fontId="3" type="noConversion"/>
  </si>
  <si>
    <t>Scrap controller PC</t>
    <phoneticPr fontId="3" type="noConversion"/>
  </si>
  <si>
    <t>부팅 안됨 / PC SMPS out로 교체</t>
    <phoneticPr fontId="3" type="noConversion"/>
  </si>
  <si>
    <t>SEC-DB-V100B</t>
    <phoneticPr fontId="3" type="noConversion"/>
  </si>
  <si>
    <t>강성렬</t>
    <phoneticPr fontId="3" type="noConversion"/>
  </si>
  <si>
    <t>동작불량</t>
    <phoneticPr fontId="3" type="noConversion"/>
  </si>
  <si>
    <t>수리완료</t>
    <phoneticPr fontId="3" type="noConversion"/>
  </si>
  <si>
    <t>P</t>
    <phoneticPr fontId="3" type="noConversion"/>
  </si>
  <si>
    <t>1T1P</t>
    <phoneticPr fontId="3" type="noConversion"/>
  </si>
  <si>
    <t>*101540094242726*</t>
    <phoneticPr fontId="3" type="noConversion"/>
  </si>
  <si>
    <t>171201978</t>
    <phoneticPr fontId="3" type="noConversion"/>
  </si>
  <si>
    <t>자체</t>
    <phoneticPr fontId="3" type="noConversion"/>
  </si>
  <si>
    <t>정기수</t>
    <phoneticPr fontId="3" type="noConversion"/>
  </si>
  <si>
    <t>이중학</t>
    <phoneticPr fontId="3" type="noConversion"/>
  </si>
  <si>
    <t>전명원</t>
    <phoneticPr fontId="3" type="noConversion"/>
  </si>
  <si>
    <t>나르미</t>
    <phoneticPr fontId="3" type="noConversion"/>
  </si>
  <si>
    <t>CAN B/D</t>
    <phoneticPr fontId="3" type="noConversion"/>
  </si>
  <si>
    <t>통신오류</t>
    <phoneticPr fontId="3" type="noConversion"/>
  </si>
  <si>
    <t>강영관</t>
    <phoneticPr fontId="3" type="noConversion"/>
  </si>
  <si>
    <t>C</t>
    <phoneticPr fontId="3" type="noConversion"/>
  </si>
  <si>
    <t>3T1P</t>
    <phoneticPr fontId="3" type="noConversion"/>
  </si>
  <si>
    <t>전원 안들어옴</t>
    <phoneticPr fontId="3" type="noConversion"/>
  </si>
  <si>
    <t>#2L410093</t>
    <phoneticPr fontId="3" type="noConversion"/>
  </si>
  <si>
    <t>자체</t>
    <phoneticPr fontId="3" type="noConversion"/>
  </si>
  <si>
    <t>정기수</t>
    <phoneticPr fontId="3" type="noConversion"/>
  </si>
  <si>
    <t>한승진</t>
    <phoneticPr fontId="3" type="noConversion"/>
  </si>
  <si>
    <t>Steep Motor Driver</t>
    <phoneticPr fontId="3" type="noConversion"/>
  </si>
  <si>
    <t>모터에서 소리남 / 포터커플러 교체</t>
    <phoneticPr fontId="3" type="noConversion"/>
  </si>
  <si>
    <t>1402F5TD1175</t>
    <phoneticPr fontId="3" type="noConversion"/>
  </si>
  <si>
    <t>오유진</t>
    <phoneticPr fontId="3" type="noConversion"/>
  </si>
  <si>
    <t>보드 파손 / 모든 콘덴서 및 전원 콘넥터 교체</t>
    <phoneticPr fontId="3" type="noConversion"/>
  </si>
  <si>
    <t>2013SNE2893</t>
    <phoneticPr fontId="3" type="noConversion"/>
  </si>
  <si>
    <t>Moniter</t>
    <phoneticPr fontId="3" type="noConversion"/>
  </si>
  <si>
    <t>코팅기</t>
    <phoneticPr fontId="3" type="noConversion"/>
  </si>
  <si>
    <t>코팅기 보드</t>
    <phoneticPr fontId="3" type="noConversion"/>
  </si>
  <si>
    <t>가열 판 뒤집어 조립된것 다시 정상 조립</t>
    <phoneticPr fontId="3" type="noConversion"/>
  </si>
  <si>
    <t>한승진</t>
    <phoneticPr fontId="3" type="noConversion"/>
  </si>
  <si>
    <t>wbg</t>
    <phoneticPr fontId="3" type="noConversion"/>
  </si>
  <si>
    <t>전원 off /diode 511(5.1v) 65(18v) ic :UC33364</t>
    <phoneticPr fontId="3" type="noConversion"/>
  </si>
  <si>
    <t>노동록</t>
    <phoneticPr fontId="3" type="noConversion"/>
  </si>
  <si>
    <t>C</t>
    <phoneticPr fontId="3" type="noConversion"/>
  </si>
  <si>
    <t>3T4P</t>
    <phoneticPr fontId="3" type="noConversion"/>
  </si>
  <si>
    <t xml:space="preserve">터치 불량 </t>
    <phoneticPr fontId="3" type="noConversion"/>
  </si>
  <si>
    <t>자체</t>
    <phoneticPr fontId="3" type="noConversion"/>
  </si>
  <si>
    <t>정기수</t>
    <phoneticPr fontId="3" type="noConversion"/>
  </si>
  <si>
    <t>Main Board 불량</t>
    <phoneticPr fontId="3" type="noConversion"/>
  </si>
  <si>
    <t>유완수</t>
    <phoneticPr fontId="3" type="noConversion"/>
  </si>
  <si>
    <t>전원 들어왔다가 나감</t>
    <phoneticPr fontId="3" type="noConversion"/>
  </si>
  <si>
    <t>최경철</t>
    <phoneticPr fontId="3" type="noConversion"/>
  </si>
  <si>
    <t>EE</t>
    <phoneticPr fontId="3" type="noConversion"/>
  </si>
  <si>
    <t>EE1</t>
    <phoneticPr fontId="3" type="noConversion"/>
  </si>
  <si>
    <t>MONITOR</t>
    <phoneticPr fontId="3" type="noConversion"/>
  </si>
  <si>
    <t>뺵라이트나감</t>
    <phoneticPr fontId="3" type="noConversion"/>
  </si>
  <si>
    <t>자체</t>
    <phoneticPr fontId="3" type="noConversion"/>
  </si>
  <si>
    <t>정기수</t>
    <phoneticPr fontId="3" type="noConversion"/>
  </si>
  <si>
    <t>김효천</t>
    <phoneticPr fontId="3" type="noConversion"/>
  </si>
  <si>
    <t>김태식</t>
    <phoneticPr fontId="3" type="noConversion"/>
  </si>
  <si>
    <t>oven</t>
    <phoneticPr fontId="3" type="noConversion"/>
  </si>
  <si>
    <t>동작불량</t>
    <phoneticPr fontId="3" type="noConversion"/>
  </si>
  <si>
    <t>Stepping Motor</t>
    <phoneticPr fontId="3" type="noConversion"/>
  </si>
  <si>
    <t>단선으로 인한 커넥터 재결선</t>
    <phoneticPr fontId="3" type="noConversion"/>
  </si>
  <si>
    <t>STB 음성안내 제작</t>
    <phoneticPr fontId="3" type="noConversion"/>
  </si>
  <si>
    <t>제작 및 TEST 진행 중</t>
    <phoneticPr fontId="3" type="noConversion"/>
  </si>
  <si>
    <t>한미 ten key</t>
  </si>
  <si>
    <t xml:space="preserve">patten repair </t>
    <phoneticPr fontId="3" type="noConversion"/>
  </si>
  <si>
    <t>외주</t>
    <phoneticPr fontId="3" type="noConversion"/>
  </si>
  <si>
    <t>큐텍코리아</t>
    <phoneticPr fontId="3" type="noConversion"/>
  </si>
  <si>
    <t>수리완료</t>
    <phoneticPr fontId="3" type="noConversion"/>
  </si>
  <si>
    <t>신상현</t>
    <phoneticPr fontId="3" type="noConversion"/>
  </si>
  <si>
    <t>신명호</t>
    <phoneticPr fontId="3" type="noConversion"/>
  </si>
  <si>
    <t>TCNCP</t>
    <phoneticPr fontId="3" type="noConversion"/>
  </si>
  <si>
    <t>1394 VISION B/D</t>
    <phoneticPr fontId="3" type="noConversion"/>
  </si>
  <si>
    <t>작동 안함 / 퓨즈교체</t>
    <phoneticPr fontId="3" type="noConversion"/>
  </si>
  <si>
    <t>이성운</t>
    <phoneticPr fontId="3" type="noConversion"/>
  </si>
  <si>
    <t>BAR code Printer</t>
    <phoneticPr fontId="3" type="noConversion"/>
  </si>
  <si>
    <t>Board</t>
    <phoneticPr fontId="3" type="noConversion"/>
  </si>
  <si>
    <t>작동 오류 인식 불량 / 전원 수리</t>
    <phoneticPr fontId="3" type="noConversion"/>
  </si>
  <si>
    <t>이상동작 / 모든 콘덴서 교체</t>
    <phoneticPr fontId="3" type="noConversion"/>
  </si>
  <si>
    <t>강봉진</t>
    <phoneticPr fontId="3" type="noConversion"/>
  </si>
  <si>
    <t>buming</t>
    <phoneticPr fontId="3" type="noConversion"/>
  </si>
  <si>
    <t>inter connect board</t>
    <phoneticPr fontId="3" type="noConversion"/>
  </si>
  <si>
    <t>동작불량</t>
    <phoneticPr fontId="3" type="noConversion"/>
  </si>
  <si>
    <t>김진호</t>
    <phoneticPr fontId="3" type="noConversion"/>
  </si>
  <si>
    <t>Plating</t>
    <phoneticPr fontId="3" type="noConversion"/>
  </si>
  <si>
    <t>Inter Connection b/d</t>
    <phoneticPr fontId="3" type="noConversion"/>
  </si>
  <si>
    <t>Chemical Cup 동작불량</t>
    <phoneticPr fontId="3" type="noConversion"/>
  </si>
  <si>
    <t>유완수</t>
    <phoneticPr fontId="3" type="noConversion"/>
  </si>
  <si>
    <t>TCNCP</t>
    <phoneticPr fontId="3" type="noConversion"/>
  </si>
  <si>
    <t>SGDV-R90A01A</t>
    <phoneticPr fontId="3" type="noConversion"/>
  </si>
  <si>
    <t>FAN OUT</t>
    <phoneticPr fontId="3" type="noConversion"/>
  </si>
  <si>
    <t xml:space="preserve">최경철 </t>
    <phoneticPr fontId="3" type="noConversion"/>
  </si>
  <si>
    <t xml:space="preserve">safty controller </t>
    <phoneticPr fontId="3" type="noConversion"/>
  </si>
  <si>
    <t>60177A0021X0</t>
    <phoneticPr fontId="3" type="noConversion"/>
  </si>
  <si>
    <t>김영환</t>
    <phoneticPr fontId="3" type="noConversion"/>
  </si>
  <si>
    <t>MOLD</t>
    <phoneticPr fontId="3" type="noConversion"/>
  </si>
  <si>
    <t>Z LIMIT B/D</t>
    <phoneticPr fontId="3" type="noConversion"/>
  </si>
  <si>
    <t>pnp</t>
    <phoneticPr fontId="3" type="noConversion"/>
  </si>
  <si>
    <t>ac servo driver</t>
    <phoneticPr fontId="3" type="noConversion"/>
  </si>
  <si>
    <t xml:space="preserve">FL-2ERROR </t>
    <phoneticPr fontId="3" type="noConversion"/>
  </si>
  <si>
    <t>TEST 완료</t>
    <phoneticPr fontId="3" type="noConversion"/>
  </si>
  <si>
    <t>Clamp Home Out</t>
    <phoneticPr fontId="3" type="noConversion"/>
  </si>
  <si>
    <t>김경철</t>
    <phoneticPr fontId="3" type="noConversion"/>
  </si>
  <si>
    <t>QA</t>
    <phoneticPr fontId="3" type="noConversion"/>
  </si>
  <si>
    <t>MONITOR</t>
    <phoneticPr fontId="3" type="noConversion"/>
  </si>
  <si>
    <t>모니터 화면 꺼짐</t>
    <phoneticPr fontId="3" type="noConversion"/>
  </si>
  <si>
    <t>자체</t>
    <phoneticPr fontId="3" type="noConversion"/>
  </si>
  <si>
    <t>정기수</t>
    <phoneticPr fontId="3" type="noConversion"/>
  </si>
  <si>
    <t>최효준</t>
    <phoneticPr fontId="3" type="noConversion"/>
  </si>
  <si>
    <t>EE</t>
    <phoneticPr fontId="3" type="noConversion"/>
  </si>
  <si>
    <t>EE1</t>
    <phoneticPr fontId="3" type="noConversion"/>
  </si>
  <si>
    <t>MONITOR</t>
    <phoneticPr fontId="3" type="noConversion"/>
  </si>
  <si>
    <t>빽라이트나감</t>
    <phoneticPr fontId="3" type="noConversion"/>
  </si>
  <si>
    <t>자체</t>
    <phoneticPr fontId="3" type="noConversion"/>
  </si>
  <si>
    <t>정기수</t>
    <phoneticPr fontId="3" type="noConversion"/>
  </si>
  <si>
    <t>+12V 안걸림</t>
    <phoneticPr fontId="3" type="noConversion"/>
  </si>
  <si>
    <t>강영관</t>
    <phoneticPr fontId="3" type="noConversion"/>
  </si>
  <si>
    <t>saw</t>
    <phoneticPr fontId="3" type="noConversion"/>
  </si>
  <si>
    <t>vsp-1230s</t>
    <phoneticPr fontId="3" type="noConversion"/>
  </si>
  <si>
    <t>vsp-1230s installation</t>
    <phoneticPr fontId="3" type="noConversion"/>
  </si>
  <si>
    <t>강성열</t>
    <phoneticPr fontId="3" type="noConversion"/>
  </si>
  <si>
    <t>수리완료</t>
    <phoneticPr fontId="3" type="noConversion"/>
  </si>
  <si>
    <t>N/A</t>
    <phoneticPr fontId="3" type="noConversion"/>
  </si>
  <si>
    <t>콘덴서 단선</t>
    <phoneticPr fontId="3" type="noConversion"/>
  </si>
  <si>
    <t>자체</t>
    <phoneticPr fontId="3" type="noConversion"/>
  </si>
  <si>
    <t>정기수</t>
    <phoneticPr fontId="3" type="noConversion"/>
  </si>
  <si>
    <t>임수성</t>
    <phoneticPr fontId="3" type="noConversion"/>
  </si>
  <si>
    <t>A</t>
    <phoneticPr fontId="3" type="noConversion"/>
  </si>
  <si>
    <t>WIIRE 계속 풀림</t>
    <phoneticPr fontId="3" type="noConversion"/>
  </si>
  <si>
    <t xml:space="preserve">5.3v </t>
    <phoneticPr fontId="3" type="noConversion"/>
  </si>
  <si>
    <t>윤여삼</t>
    <phoneticPr fontId="3" type="noConversion"/>
  </si>
  <si>
    <t>A</t>
    <phoneticPr fontId="3" type="noConversion"/>
  </si>
  <si>
    <t>1T3P</t>
    <phoneticPr fontId="3" type="noConversion"/>
  </si>
  <si>
    <t>MONITOR</t>
    <phoneticPr fontId="3" type="noConversion"/>
  </si>
  <si>
    <t>MONITOR</t>
    <phoneticPr fontId="3" type="noConversion"/>
  </si>
  <si>
    <t>커넥터 탐</t>
    <phoneticPr fontId="3" type="noConversion"/>
  </si>
  <si>
    <t>자체</t>
    <phoneticPr fontId="3" type="noConversion"/>
  </si>
  <si>
    <t>정기수</t>
    <phoneticPr fontId="3" type="noConversion"/>
  </si>
  <si>
    <t>신명호</t>
    <phoneticPr fontId="3" type="noConversion"/>
  </si>
  <si>
    <t>TCNCP</t>
    <phoneticPr fontId="3" type="noConversion"/>
  </si>
  <si>
    <t>QA</t>
    <phoneticPr fontId="3" type="noConversion"/>
  </si>
  <si>
    <t>FA실 장비 점검</t>
    <phoneticPr fontId="3" type="noConversion"/>
  </si>
  <si>
    <t>정기수</t>
    <phoneticPr fontId="3" type="noConversion"/>
  </si>
  <si>
    <t>허준영</t>
    <phoneticPr fontId="3" type="noConversion"/>
  </si>
  <si>
    <t>fuji power supply 500w</t>
    <phoneticPr fontId="3" type="noConversion"/>
  </si>
  <si>
    <t xml:space="preserve">전태진 </t>
    <phoneticPr fontId="3" type="noConversion"/>
  </si>
  <si>
    <t>출력 콘덴서 교체</t>
  </si>
  <si>
    <t>Plating</t>
  </si>
  <si>
    <t>JP1 #9 error / 배선 타서 배선 복구 함 J13 #4 &amp; CR1 #7</t>
    <phoneticPr fontId="3" type="noConversion"/>
  </si>
  <si>
    <t>Upper error / IC 32 X 3EA 교체</t>
    <phoneticPr fontId="3" type="noConversion"/>
  </si>
  <si>
    <t>1411</t>
    <phoneticPr fontId="3" type="noConversion"/>
  </si>
  <si>
    <t>1421</t>
    <phoneticPr fontId="3" type="noConversion"/>
  </si>
  <si>
    <t>0284</t>
    <phoneticPr fontId="3" type="noConversion"/>
  </si>
  <si>
    <t>김영환</t>
    <phoneticPr fontId="3" type="noConversion"/>
  </si>
  <si>
    <t>수리완료</t>
    <phoneticPr fontId="3" type="noConversion"/>
  </si>
  <si>
    <t>C</t>
    <phoneticPr fontId="3" type="noConversion"/>
  </si>
  <si>
    <t>가동시 타는 냄새가 남</t>
    <phoneticPr fontId="3" type="noConversion"/>
  </si>
  <si>
    <t>자체</t>
    <phoneticPr fontId="3" type="noConversion"/>
  </si>
  <si>
    <t>정기수</t>
    <phoneticPr fontId="3" type="noConversion"/>
  </si>
  <si>
    <t>wbg</t>
    <phoneticPr fontId="3" type="noConversion"/>
  </si>
  <si>
    <t>김진만</t>
    <phoneticPr fontId="3" type="noConversion"/>
  </si>
  <si>
    <t>N/A</t>
    <phoneticPr fontId="3" type="noConversion"/>
  </si>
  <si>
    <t xml:space="preserve">pc POWER </t>
    <phoneticPr fontId="3" type="noConversion"/>
  </si>
  <si>
    <t>김선체</t>
    <phoneticPr fontId="3" type="noConversion"/>
  </si>
  <si>
    <t>FA실 장비 탈착</t>
    <phoneticPr fontId="3" type="noConversion"/>
  </si>
  <si>
    <t>동작불량</t>
    <phoneticPr fontId="3" type="noConversion"/>
  </si>
  <si>
    <t>최경철</t>
    <phoneticPr fontId="3" type="noConversion"/>
  </si>
  <si>
    <t>정덕우</t>
    <phoneticPr fontId="3" type="noConversion"/>
  </si>
  <si>
    <t>수리완료</t>
    <phoneticPr fontId="3" type="noConversion"/>
  </si>
  <si>
    <t>Bump</t>
    <phoneticPr fontId="3" type="noConversion"/>
  </si>
  <si>
    <t>Bump1</t>
    <phoneticPr fontId="3" type="noConversion"/>
  </si>
  <si>
    <t>monitor</t>
    <phoneticPr fontId="3" type="noConversion"/>
  </si>
  <si>
    <t>화면 안나옴</t>
    <phoneticPr fontId="3" type="noConversion"/>
  </si>
  <si>
    <t>자체</t>
    <phoneticPr fontId="3" type="noConversion"/>
  </si>
  <si>
    <t>정기수</t>
    <phoneticPr fontId="3" type="noConversion"/>
  </si>
  <si>
    <t>ISXY6B0510</t>
    <phoneticPr fontId="3" type="noConversion"/>
  </si>
  <si>
    <t>error / 배터리 교체</t>
    <phoneticPr fontId="3" type="noConversion"/>
  </si>
  <si>
    <t>3014297235</t>
    <phoneticPr fontId="3" type="noConversion"/>
  </si>
  <si>
    <t>김현만</t>
    <phoneticPr fontId="3" type="noConversion"/>
  </si>
  <si>
    <t>FICO</t>
    <phoneticPr fontId="3" type="noConversion"/>
  </si>
  <si>
    <t>빽라이트 나감</t>
    <phoneticPr fontId="3" type="noConversion"/>
  </si>
  <si>
    <t>정기수</t>
    <phoneticPr fontId="3" type="noConversion"/>
  </si>
  <si>
    <t>SMPS(OMRON)</t>
    <phoneticPr fontId="3" type="noConversion"/>
  </si>
  <si>
    <t>4PB-851Y57-0338W2308</t>
    <phoneticPr fontId="3" type="noConversion"/>
  </si>
  <si>
    <t>전원 안나옴 / 내부  PWM IC 2EA 및 콘덴서 교체(2019.03 생산중지)</t>
    <phoneticPr fontId="3" type="noConversion"/>
  </si>
  <si>
    <t>SM-09020CP</t>
    <phoneticPr fontId="3" type="noConversion"/>
  </si>
  <si>
    <t>ATP</t>
    <phoneticPr fontId="3" type="noConversion"/>
  </si>
  <si>
    <t>SAW</t>
    <phoneticPr fontId="3" type="noConversion"/>
  </si>
  <si>
    <t>PLASMA</t>
    <phoneticPr fontId="3" type="noConversion"/>
  </si>
  <si>
    <t>N/A</t>
    <phoneticPr fontId="3" type="noConversion"/>
  </si>
  <si>
    <t>N.A</t>
    <phoneticPr fontId="3" type="noConversion"/>
  </si>
  <si>
    <t>USED RF GENERATOR</t>
  </si>
  <si>
    <t>USED MATCHING BOX</t>
  </si>
  <si>
    <t>USED DISCO CPU</t>
  </si>
  <si>
    <t>USED CARTRIDGE</t>
  </si>
  <si>
    <t>USED CPU MOTHERBOARD</t>
  </si>
  <si>
    <t>USED spindle driver</t>
  </si>
  <si>
    <t>No power, No boot-up.</t>
  </si>
  <si>
    <t>No Video, High Current</t>
  </si>
  <si>
    <t>Umable to communicate to Master</t>
  </si>
  <si>
    <t>No EFO Spark</t>
  </si>
  <si>
    <t>Inconsistent Ball Size</t>
  </si>
  <si>
    <t>Frequent EFO OPEEN</t>
  </si>
  <si>
    <t>Encountered E-Cal error</t>
  </si>
  <si>
    <t>SPINDLE DRIVER ERROR CODE E-004</t>
  </si>
  <si>
    <t>High Refelective  Power Output</t>
    <phoneticPr fontId="3" type="noConversion"/>
  </si>
  <si>
    <t>No POWER output, Power supply &amp; LCD display OK.</t>
    <phoneticPr fontId="3" type="noConversion"/>
  </si>
  <si>
    <t>USED Touchscreen Monitor</t>
    <phoneticPr fontId="3" type="noConversion"/>
  </si>
  <si>
    <t>No power, No boot-up. Power Supply OK.</t>
    <phoneticPr fontId="3" type="noConversion"/>
  </si>
  <si>
    <t>50059181B80</t>
  </si>
  <si>
    <t>50067061FE2</t>
  </si>
  <si>
    <t>GBBT16903</t>
  </si>
  <si>
    <t>SG04030017</t>
  </si>
  <si>
    <t>ZM143S004064</t>
  </si>
  <si>
    <t>1000606</t>
  </si>
  <si>
    <t>2000613</t>
  </si>
  <si>
    <t>102922121</t>
  </si>
  <si>
    <t>100819899</t>
  </si>
  <si>
    <t>153801451</t>
  </si>
  <si>
    <t>20341114</t>
  </si>
  <si>
    <t>1320704890</t>
  </si>
  <si>
    <t>MFG NO 4223341-10</t>
    <phoneticPr fontId="3" type="noConversion"/>
  </si>
  <si>
    <t xml:space="preserve">7AB Alarm 740 error /10008은 통신 불안 10028 good </t>
    <phoneticPr fontId="3" type="noConversion"/>
  </si>
  <si>
    <t>김영환</t>
    <phoneticPr fontId="3" type="noConversion"/>
  </si>
  <si>
    <t>plasama</t>
    <phoneticPr fontId="3" type="noConversion"/>
  </si>
  <si>
    <t>전다환</t>
    <phoneticPr fontId="3" type="noConversion"/>
  </si>
  <si>
    <t xml:space="preserve">Boorks loadport Main board </t>
  </si>
  <si>
    <t>Joker#1</t>
    <phoneticPr fontId="3" type="noConversion"/>
  </si>
  <si>
    <t>Chip Condenser Out</t>
    <phoneticPr fontId="3" type="noConversion"/>
  </si>
  <si>
    <t>배선 타서 복구</t>
    <phoneticPr fontId="3" type="noConversion"/>
  </si>
  <si>
    <t>손경원</t>
    <phoneticPr fontId="3" type="noConversion"/>
  </si>
  <si>
    <t>f/c</t>
    <phoneticPr fontId="3" type="noConversion"/>
  </si>
  <si>
    <t>mr-j2s-20a</t>
    <phoneticPr fontId="3" type="noConversion"/>
  </si>
  <si>
    <t>기타</t>
  </si>
  <si>
    <t>TC</t>
    <phoneticPr fontId="3" type="noConversion"/>
  </si>
  <si>
    <t>error / 내부 콘덴서 교체</t>
    <phoneticPr fontId="3" type="noConversion"/>
  </si>
  <si>
    <t xml:space="preserve">Teaching Pendant </t>
    <phoneticPr fontId="3" type="noConversion"/>
  </si>
  <si>
    <t>Connector 파손</t>
    <phoneticPr fontId="3" type="noConversion"/>
  </si>
  <si>
    <t>배동석</t>
    <phoneticPr fontId="3" type="noConversion"/>
  </si>
  <si>
    <t>TEST</t>
    <phoneticPr fontId="3" type="noConversion"/>
  </si>
  <si>
    <t>LOARDBOARD</t>
    <phoneticPr fontId="3" type="noConversion"/>
  </si>
  <si>
    <t>IC 교체</t>
    <phoneticPr fontId="3" type="noConversion"/>
  </si>
  <si>
    <t xml:space="preserve">김태식 </t>
    <phoneticPr fontId="3" type="noConversion"/>
  </si>
  <si>
    <t>da</t>
    <phoneticPr fontId="3" type="noConversion"/>
  </si>
  <si>
    <t xml:space="preserve">servo uint </t>
    <phoneticPr fontId="3" type="noConversion"/>
  </si>
  <si>
    <t>BTS 반출</t>
    <phoneticPr fontId="3" type="noConversion"/>
  </si>
  <si>
    <t>3&amp;B 반출</t>
    <phoneticPr fontId="3" type="noConversion"/>
  </si>
  <si>
    <t>VA27655</t>
    <phoneticPr fontId="3" type="noConversion"/>
  </si>
  <si>
    <t>VA16351</t>
    <phoneticPr fontId="3" type="noConversion"/>
  </si>
  <si>
    <t>김영환</t>
    <phoneticPr fontId="3" type="noConversion"/>
  </si>
  <si>
    <t>수리완료</t>
    <phoneticPr fontId="3" type="noConversion"/>
  </si>
  <si>
    <t>MOLD</t>
    <phoneticPr fontId="3" type="noConversion"/>
  </si>
  <si>
    <t>정기수</t>
    <phoneticPr fontId="3" type="noConversion"/>
  </si>
  <si>
    <t>3016256008</t>
    <phoneticPr fontId="3" type="noConversion"/>
  </si>
  <si>
    <t>수리완료</t>
    <phoneticPr fontId="3" type="noConversion"/>
  </si>
  <si>
    <t>자체</t>
    <phoneticPr fontId="3" type="noConversion"/>
  </si>
  <si>
    <t>정기수</t>
    <phoneticPr fontId="3" type="noConversion"/>
  </si>
  <si>
    <t>김효천</t>
    <phoneticPr fontId="3" type="noConversion"/>
  </si>
  <si>
    <t>motor control b/d</t>
    <phoneticPr fontId="3" type="noConversion"/>
  </si>
  <si>
    <t>Sensor connentor</t>
    <phoneticPr fontId="3" type="noConversion"/>
  </si>
  <si>
    <t>error / 저항 out로 교체</t>
    <phoneticPr fontId="3" type="noConversion"/>
  </si>
  <si>
    <t>1061008090675</t>
    <phoneticPr fontId="3" type="noConversion"/>
  </si>
  <si>
    <t>B</t>
    <phoneticPr fontId="3" type="noConversion"/>
  </si>
  <si>
    <t>IOINIZER</t>
    <phoneticPr fontId="3" type="noConversion"/>
  </si>
  <si>
    <t>김정훈</t>
    <phoneticPr fontId="3" type="noConversion"/>
  </si>
  <si>
    <t>ION값 불량</t>
    <phoneticPr fontId="3" type="noConversion"/>
  </si>
  <si>
    <t>자체</t>
    <phoneticPr fontId="3" type="noConversion"/>
  </si>
  <si>
    <t>정기수</t>
    <phoneticPr fontId="3" type="noConversion"/>
  </si>
  <si>
    <t>Costsave
K$</t>
    <phoneticPr fontId="3" type="noConversion"/>
  </si>
  <si>
    <t>out  IRIH diode  C ALL  SHOTTKEY 60V 1A</t>
    <phoneticPr fontId="3" type="noConversion"/>
  </si>
  <si>
    <t>ETEL B/D</t>
    <phoneticPr fontId="3" type="noConversion"/>
  </si>
  <si>
    <t>손대희</t>
    <phoneticPr fontId="3" type="noConversion"/>
  </si>
  <si>
    <t>Lable</t>
    <phoneticPr fontId="3" type="noConversion"/>
  </si>
  <si>
    <t>Main board &amp; Parameter</t>
    <phoneticPr fontId="3" type="noConversion"/>
  </si>
  <si>
    <t>PC와 연결 프린트 안됩 / parameter중 IFAC-PORT:RS232 -&gt; CENT(Contronics)</t>
    <phoneticPr fontId="3" type="noConversion"/>
  </si>
  <si>
    <t>07007407202-674</t>
    <phoneticPr fontId="3" type="noConversion"/>
  </si>
  <si>
    <t>박영준</t>
    <phoneticPr fontId="3" type="noConversion"/>
  </si>
  <si>
    <t>허준영</t>
    <phoneticPr fontId="3" type="noConversion"/>
  </si>
  <si>
    <t>장은철</t>
    <phoneticPr fontId="3" type="noConversion"/>
  </si>
  <si>
    <t>XRF180N180X3519</t>
    <phoneticPr fontId="3" type="noConversion"/>
  </si>
  <si>
    <t>Output 낮음</t>
    <phoneticPr fontId="3" type="noConversion"/>
  </si>
  <si>
    <t>58366-1-A00411</t>
    <phoneticPr fontId="3" type="noConversion"/>
  </si>
  <si>
    <t>외주</t>
    <phoneticPr fontId="3" type="noConversion"/>
  </si>
  <si>
    <t>유창환</t>
    <phoneticPr fontId="3" type="noConversion"/>
  </si>
  <si>
    <t>232 Cable 장비용 Modify</t>
    <phoneticPr fontId="3" type="noConversion"/>
  </si>
  <si>
    <t>Cable 연장 및 재결선</t>
    <phoneticPr fontId="3" type="noConversion"/>
  </si>
  <si>
    <t>허준영</t>
    <phoneticPr fontId="3" type="noConversion"/>
  </si>
  <si>
    <t>장대호</t>
    <phoneticPr fontId="3" type="noConversion"/>
  </si>
  <si>
    <t>EFO BOX</t>
    <phoneticPr fontId="3" type="noConversion"/>
  </si>
  <si>
    <t>허준영</t>
    <phoneticPr fontId="3" type="noConversion"/>
  </si>
  <si>
    <t>inverter</t>
    <phoneticPr fontId="3" type="noConversion"/>
  </si>
  <si>
    <t xml:space="preserve">error 740 para m입력 </t>
    <phoneticPr fontId="3" type="noConversion"/>
  </si>
  <si>
    <t>MONITOR</t>
    <phoneticPr fontId="3" type="noConversion"/>
  </si>
  <si>
    <t>전원 안나옴</t>
    <phoneticPr fontId="3" type="noConversion"/>
  </si>
  <si>
    <t>자체</t>
    <phoneticPr fontId="3" type="noConversion"/>
  </si>
  <si>
    <t>정기수</t>
    <phoneticPr fontId="3" type="noConversion"/>
  </si>
  <si>
    <t>K5</t>
    <phoneticPr fontId="3" type="noConversion"/>
  </si>
  <si>
    <t>이훈</t>
    <phoneticPr fontId="3" type="noConversion"/>
  </si>
  <si>
    <t>MONITOR</t>
    <phoneticPr fontId="3" type="noConversion"/>
  </si>
  <si>
    <t>전원,인버터 아웃</t>
    <phoneticPr fontId="3" type="noConversion"/>
  </si>
  <si>
    <t>TOUCH 안됨</t>
    <phoneticPr fontId="3" type="noConversion"/>
  </si>
  <si>
    <t>진선규</t>
    <phoneticPr fontId="3" type="noConversion"/>
  </si>
  <si>
    <t>P/SAW</t>
    <phoneticPr fontId="3" type="noConversion"/>
  </si>
  <si>
    <t>1061009230834</t>
    <phoneticPr fontId="3" type="noConversion"/>
  </si>
  <si>
    <t>장은철</t>
    <phoneticPr fontId="3" type="noConversion"/>
  </si>
  <si>
    <t xml:space="preserve">No Video, High Current </t>
    <phoneticPr fontId="3" type="noConversion"/>
  </si>
  <si>
    <t>N/A</t>
    <phoneticPr fontId="3" type="noConversion"/>
  </si>
  <si>
    <t>EE</t>
    <phoneticPr fontId="3" type="noConversion"/>
  </si>
  <si>
    <t>EE2</t>
    <phoneticPr fontId="3" type="noConversion"/>
  </si>
  <si>
    <t>김경호</t>
    <phoneticPr fontId="3" type="noConversion"/>
  </si>
  <si>
    <t>허준영</t>
    <phoneticPr fontId="3" type="noConversion"/>
  </si>
  <si>
    <t>고규식</t>
    <phoneticPr fontId="3" type="noConversion"/>
  </si>
  <si>
    <t>이신희</t>
    <phoneticPr fontId="3" type="noConversion"/>
  </si>
  <si>
    <t>TCNCP</t>
    <phoneticPr fontId="3" type="noConversion"/>
  </si>
  <si>
    <t xml:space="preserve"> INSPECTION</t>
    <phoneticPr fontId="3" type="noConversion"/>
  </si>
  <si>
    <t xml:space="preserve">SAFTY controller </t>
    <phoneticPr fontId="3" type="noConversion"/>
  </si>
  <si>
    <t xml:space="preserve">MOTOR  DRIVER </t>
    <phoneticPr fontId="3" type="noConversion"/>
  </si>
  <si>
    <t>ERROR 52</t>
    <phoneticPr fontId="3" type="noConversion"/>
  </si>
  <si>
    <t>백윤덕</t>
    <phoneticPr fontId="3" type="noConversion"/>
  </si>
  <si>
    <t>히터 동작안됨</t>
    <phoneticPr fontId="3" type="noConversion"/>
  </si>
  <si>
    <t>유완수</t>
    <phoneticPr fontId="3" type="noConversion"/>
  </si>
  <si>
    <t>2T3P</t>
    <phoneticPr fontId="3" type="noConversion"/>
  </si>
  <si>
    <t>박병주</t>
    <phoneticPr fontId="3" type="noConversion"/>
  </si>
  <si>
    <t>POWER SUPPLY</t>
    <phoneticPr fontId="3" type="noConversion"/>
  </si>
  <si>
    <t>VME B.D</t>
    <phoneticPr fontId="3" type="noConversion"/>
  </si>
  <si>
    <t>ATOS</t>
    <phoneticPr fontId="3" type="noConversion"/>
  </si>
  <si>
    <t>신명호</t>
    <phoneticPr fontId="3" type="noConversion"/>
  </si>
  <si>
    <t>tcncp</t>
    <phoneticPr fontId="3" type="noConversion"/>
  </si>
  <si>
    <t>동작불량</t>
    <phoneticPr fontId="3" type="noConversion"/>
  </si>
  <si>
    <t>ATP</t>
    <phoneticPr fontId="3" type="noConversion"/>
  </si>
  <si>
    <t>ATP BOARD TEST</t>
    <phoneticPr fontId="3" type="noConversion"/>
  </si>
  <si>
    <t>신덕우</t>
    <phoneticPr fontId="3" type="noConversion"/>
  </si>
  <si>
    <t>이행원</t>
    <phoneticPr fontId="3" type="noConversion"/>
  </si>
  <si>
    <t>C</t>
    <phoneticPr fontId="3" type="noConversion"/>
  </si>
  <si>
    <t>3T1P</t>
    <phoneticPr fontId="3" type="noConversion"/>
  </si>
  <si>
    <t>MONITOR</t>
    <phoneticPr fontId="3" type="noConversion"/>
  </si>
  <si>
    <t>화면 안나옴</t>
    <phoneticPr fontId="3" type="noConversion"/>
  </si>
  <si>
    <t>자체</t>
    <phoneticPr fontId="3" type="noConversion"/>
  </si>
  <si>
    <t>정기수</t>
    <phoneticPr fontId="3" type="noConversion"/>
  </si>
  <si>
    <t>이행원</t>
    <phoneticPr fontId="3" type="noConversion"/>
  </si>
  <si>
    <t>머트리얼 룸</t>
    <phoneticPr fontId="3" type="noConversion"/>
  </si>
  <si>
    <t>콘넥터</t>
    <phoneticPr fontId="3" type="noConversion"/>
  </si>
  <si>
    <t>입력 콘넥터 파손 / 홀 막힘으로 제거 제 짹으로 교체</t>
    <phoneticPr fontId="3" type="noConversion"/>
  </si>
  <si>
    <t>PSX-307</t>
    <phoneticPr fontId="3" type="noConversion"/>
  </si>
  <si>
    <t>Main cpu board</t>
    <phoneticPr fontId="3" type="noConversion"/>
  </si>
  <si>
    <t>분해 고열 액폭시 주입 제조립</t>
    <phoneticPr fontId="3" type="noConversion"/>
  </si>
  <si>
    <t>wbg</t>
    <phoneticPr fontId="3" type="noConversion"/>
  </si>
  <si>
    <t>ac servo driver</t>
    <phoneticPr fontId="3" type="noConversion"/>
  </si>
  <si>
    <t>spair bdfh  PARA' WRITE</t>
    <phoneticPr fontId="3" type="noConversion"/>
  </si>
  <si>
    <t>APM MOLD</t>
    <phoneticPr fontId="3" type="noConversion"/>
  </si>
  <si>
    <t>장비점검</t>
    <phoneticPr fontId="3" type="noConversion"/>
  </si>
  <si>
    <t>강영관</t>
    <phoneticPr fontId="3" type="noConversion"/>
  </si>
  <si>
    <t>C</t>
    <phoneticPr fontId="3" type="noConversion"/>
  </si>
  <si>
    <t>3T1P</t>
    <phoneticPr fontId="3" type="noConversion"/>
  </si>
  <si>
    <t>ION 값 불량</t>
    <phoneticPr fontId="3" type="noConversion"/>
  </si>
  <si>
    <t>자체</t>
    <phoneticPr fontId="3" type="noConversion"/>
  </si>
  <si>
    <t>정기수</t>
    <phoneticPr fontId="3" type="noConversion"/>
  </si>
  <si>
    <t>임수성</t>
    <phoneticPr fontId="3" type="noConversion"/>
  </si>
  <si>
    <t>B</t>
    <phoneticPr fontId="3" type="noConversion"/>
  </si>
  <si>
    <t>2T2P</t>
    <phoneticPr fontId="3" type="noConversion"/>
  </si>
  <si>
    <t>허준영</t>
    <phoneticPr fontId="3" type="noConversion"/>
  </si>
  <si>
    <t>최경철</t>
    <phoneticPr fontId="3" type="noConversion"/>
  </si>
  <si>
    <t>tc</t>
    <phoneticPr fontId="3" type="noConversion"/>
  </si>
  <si>
    <t>vsp</t>
    <phoneticPr fontId="3" type="noConversion"/>
  </si>
  <si>
    <t xml:space="preserve">역상 </t>
    <phoneticPr fontId="3" type="noConversion"/>
  </si>
  <si>
    <t>김태식</t>
    <phoneticPr fontId="3" type="noConversion"/>
  </si>
  <si>
    <t>강주형</t>
    <phoneticPr fontId="3" type="noConversion"/>
  </si>
  <si>
    <t>new driver 1ea 중고 1ea   PARA' WRITE</t>
    <phoneticPr fontId="3" type="noConversion"/>
  </si>
  <si>
    <t>전명원</t>
    <phoneticPr fontId="3" type="noConversion"/>
  </si>
  <si>
    <t>수리완료</t>
    <phoneticPr fontId="3" type="noConversion"/>
  </si>
  <si>
    <t>EE1</t>
    <phoneticPr fontId="3" type="noConversion"/>
  </si>
  <si>
    <t>EE</t>
    <phoneticPr fontId="3" type="noConversion"/>
  </si>
  <si>
    <t>나르미</t>
    <phoneticPr fontId="3" type="noConversion"/>
  </si>
  <si>
    <t>TOUCH 안됨</t>
    <phoneticPr fontId="3" type="noConversion"/>
  </si>
  <si>
    <t>자체</t>
    <phoneticPr fontId="3" type="noConversion"/>
  </si>
  <si>
    <t>정기수</t>
    <phoneticPr fontId="3" type="noConversion"/>
  </si>
  <si>
    <t>이정현</t>
    <phoneticPr fontId="3" type="noConversion"/>
  </si>
  <si>
    <t>Bump</t>
    <phoneticPr fontId="3" type="noConversion"/>
  </si>
  <si>
    <t>Bump1</t>
    <phoneticPr fontId="3" type="noConversion"/>
  </si>
  <si>
    <t>N/A</t>
    <phoneticPr fontId="3" type="noConversion"/>
  </si>
  <si>
    <t>버튼 안눌림</t>
    <phoneticPr fontId="3" type="noConversion"/>
  </si>
  <si>
    <t>이성곤</t>
    <phoneticPr fontId="3" type="noConversion"/>
  </si>
  <si>
    <t>MEOL Debonder</t>
  </si>
  <si>
    <t>VSP10KA</t>
    <phoneticPr fontId="3" type="noConversion"/>
  </si>
  <si>
    <t>VSP OUT으로 new VSP installation</t>
    <phoneticPr fontId="3" type="noConversion"/>
  </si>
  <si>
    <t>VSP OUT 제조 SPAIR VSP 로 교환  out VSP 예정</t>
    <phoneticPr fontId="3" type="noConversion"/>
  </si>
  <si>
    <t xml:space="preserve">D/A </t>
    <phoneticPr fontId="3" type="noConversion"/>
  </si>
  <si>
    <t xml:space="preserve">OUT </t>
    <phoneticPr fontId="3" type="noConversion"/>
  </si>
  <si>
    <t>전태진</t>
    <phoneticPr fontId="3" type="noConversion"/>
  </si>
  <si>
    <t>SIO-D032P</t>
    <phoneticPr fontId="3" type="noConversion"/>
  </si>
  <si>
    <t>윤여삼</t>
    <phoneticPr fontId="3" type="noConversion"/>
  </si>
  <si>
    <t>AGC Error</t>
    <phoneticPr fontId="3" type="noConversion"/>
  </si>
  <si>
    <t>수리완료</t>
    <phoneticPr fontId="3" type="noConversion"/>
  </si>
  <si>
    <t>진선규</t>
    <phoneticPr fontId="3" type="noConversion"/>
  </si>
  <si>
    <t>#9번 ON / 373 chip 교체</t>
    <phoneticPr fontId="3" type="noConversion"/>
  </si>
  <si>
    <t>전태진</t>
    <phoneticPr fontId="3" type="noConversion"/>
  </si>
  <si>
    <t>OUT board</t>
    <phoneticPr fontId="3" type="noConversion"/>
  </si>
  <si>
    <t>칩 파손으로 교체 및 패턴 파손 연결</t>
    <phoneticPr fontId="3" type="noConversion"/>
  </si>
  <si>
    <t>김환묵</t>
    <phoneticPr fontId="3" type="noConversion"/>
  </si>
  <si>
    <t>Laser marking</t>
    <phoneticPr fontId="3" type="noConversion"/>
  </si>
  <si>
    <t>Cooler</t>
    <phoneticPr fontId="3" type="noConversion"/>
  </si>
  <si>
    <t>가동 칩과 포토커플러 교체</t>
    <phoneticPr fontId="3" type="noConversion"/>
  </si>
  <si>
    <t>D17003</t>
    <phoneticPr fontId="3" type="noConversion"/>
  </si>
  <si>
    <t>전태진</t>
    <phoneticPr fontId="3" type="noConversion"/>
  </si>
  <si>
    <t>강주형</t>
    <phoneticPr fontId="3" type="noConversion"/>
  </si>
  <si>
    <t>EE</t>
    <phoneticPr fontId="3" type="noConversion"/>
  </si>
  <si>
    <t>EE1</t>
    <phoneticPr fontId="3" type="noConversion"/>
  </si>
  <si>
    <t>SMT</t>
    <phoneticPr fontId="3" type="noConversion"/>
  </si>
  <si>
    <t>VSP</t>
    <phoneticPr fontId="3" type="noConversion"/>
  </si>
  <si>
    <t>외주</t>
    <phoneticPr fontId="3" type="noConversion"/>
  </si>
  <si>
    <t>강영구</t>
    <phoneticPr fontId="3" type="noConversion"/>
  </si>
  <si>
    <t>AW_VSP_32100S_1109_11</t>
    <phoneticPr fontId="3" type="noConversion"/>
  </si>
  <si>
    <t>AW_VSP_32100S_1109_09</t>
    <phoneticPr fontId="3" type="noConversion"/>
  </si>
  <si>
    <t>이영석</t>
    <phoneticPr fontId="3" type="noConversion"/>
  </si>
  <si>
    <t>자체</t>
    <phoneticPr fontId="3" type="noConversion"/>
  </si>
  <si>
    <t>허준영</t>
    <phoneticPr fontId="3" type="noConversion"/>
  </si>
  <si>
    <t>정승겸</t>
    <phoneticPr fontId="3" type="noConversion"/>
  </si>
  <si>
    <t>QA</t>
    <phoneticPr fontId="3" type="noConversion"/>
  </si>
  <si>
    <t>MONITOR</t>
    <phoneticPr fontId="3" type="noConversion"/>
  </si>
  <si>
    <t>전원안나옴</t>
    <phoneticPr fontId="3" type="noConversion"/>
  </si>
  <si>
    <t>자체</t>
    <phoneticPr fontId="3" type="noConversion"/>
  </si>
  <si>
    <t>정기수</t>
    <phoneticPr fontId="3" type="noConversion"/>
  </si>
  <si>
    <t>전태진</t>
    <phoneticPr fontId="3" type="noConversion"/>
  </si>
  <si>
    <t>전태진</t>
    <phoneticPr fontId="3" type="noConversion"/>
  </si>
  <si>
    <t>power supply</t>
    <phoneticPr fontId="3" type="noConversion"/>
  </si>
  <si>
    <t>출력안됨</t>
    <phoneticPr fontId="3" type="noConversion"/>
  </si>
  <si>
    <t>SBA</t>
    <phoneticPr fontId="3" type="noConversion"/>
  </si>
  <si>
    <t>정기수</t>
    <phoneticPr fontId="3" type="noConversion"/>
  </si>
  <si>
    <t>부팅 안됨</t>
    <phoneticPr fontId="3" type="noConversion"/>
  </si>
  <si>
    <t>이성곤</t>
    <phoneticPr fontId="3" type="noConversion"/>
  </si>
  <si>
    <t>K5</t>
    <phoneticPr fontId="3" type="noConversion"/>
  </si>
  <si>
    <t>MR-J2S-10A</t>
    <phoneticPr fontId="3" type="noConversion"/>
  </si>
  <si>
    <t>E9 Error</t>
    <phoneticPr fontId="3" type="noConversion"/>
  </si>
  <si>
    <t>허준영</t>
    <phoneticPr fontId="3" type="noConversion"/>
  </si>
  <si>
    <t>김경호</t>
    <phoneticPr fontId="3" type="noConversion"/>
  </si>
  <si>
    <t>not operation (power)</t>
    <phoneticPr fontId="3" type="noConversion"/>
  </si>
  <si>
    <t>modify</t>
    <phoneticPr fontId="3" type="noConversion"/>
  </si>
  <si>
    <t>정승겸</t>
    <phoneticPr fontId="3" type="noConversion"/>
  </si>
  <si>
    <t>QA</t>
    <phoneticPr fontId="3" type="noConversion"/>
  </si>
  <si>
    <t>QA</t>
    <phoneticPr fontId="3" type="noConversion"/>
  </si>
  <si>
    <t>MONITOR</t>
    <phoneticPr fontId="3" type="noConversion"/>
  </si>
  <si>
    <t>화면 불량</t>
    <phoneticPr fontId="3" type="noConversion"/>
  </si>
  <si>
    <t>정기수</t>
    <phoneticPr fontId="3" type="noConversion"/>
  </si>
  <si>
    <t>자체</t>
    <phoneticPr fontId="3" type="noConversion"/>
  </si>
  <si>
    <t>이성문</t>
    <phoneticPr fontId="3" type="noConversion"/>
  </si>
  <si>
    <t>열풍기</t>
    <phoneticPr fontId="3" type="noConversion"/>
  </si>
  <si>
    <t>JC6 , JC10 , JC11 axis 동작안함</t>
    <phoneticPr fontId="3" type="noConversion"/>
  </si>
  <si>
    <t>Plasama</t>
    <phoneticPr fontId="3" type="noConversion"/>
  </si>
  <si>
    <t>Flower controller</t>
    <phoneticPr fontId="3" type="noConversion"/>
  </si>
  <si>
    <t>작동이상 / 콘덴서 교체 및 센서 직결</t>
    <phoneticPr fontId="3" type="noConversion"/>
  </si>
  <si>
    <t>박병주</t>
    <phoneticPr fontId="3" type="noConversion"/>
  </si>
  <si>
    <t>TCNCP</t>
    <phoneticPr fontId="3" type="noConversion"/>
  </si>
  <si>
    <t xml:space="preserve">Main board </t>
    <phoneticPr fontId="3" type="noConversion"/>
  </si>
  <si>
    <t>Booting Fail / DATA HDD Out로 교체</t>
    <phoneticPr fontId="3" type="noConversion"/>
  </si>
  <si>
    <t>B</t>
    <phoneticPr fontId="3" type="noConversion"/>
  </si>
  <si>
    <t>2T3P</t>
    <phoneticPr fontId="3" type="noConversion"/>
  </si>
  <si>
    <t>B Line 경광등 설치</t>
    <phoneticPr fontId="3" type="noConversion"/>
  </si>
  <si>
    <t>장대호</t>
    <phoneticPr fontId="3" type="noConversion"/>
  </si>
  <si>
    <t>B</t>
    <phoneticPr fontId="3" type="noConversion"/>
  </si>
  <si>
    <t>2T2P</t>
    <phoneticPr fontId="3" type="noConversion"/>
  </si>
  <si>
    <t>Config Error</t>
    <phoneticPr fontId="3" type="noConversion"/>
  </si>
  <si>
    <t>허준영</t>
    <phoneticPr fontId="3" type="noConversion"/>
  </si>
  <si>
    <t>MOLD</t>
    <phoneticPr fontId="3" type="noConversion"/>
  </si>
  <si>
    <t>화면 떨리는 현상 / 모든 콘덴서 교체</t>
    <phoneticPr fontId="3" type="noConversion"/>
  </si>
  <si>
    <t>811KCYQ2R242</t>
    <phoneticPr fontId="3" type="noConversion"/>
  </si>
  <si>
    <t>장대호</t>
    <phoneticPr fontId="3" type="noConversion"/>
  </si>
  <si>
    <t>power supply assy</t>
    <phoneticPr fontId="3" type="noConversion"/>
  </si>
  <si>
    <t>전원 불량</t>
    <phoneticPr fontId="3" type="noConversion"/>
  </si>
  <si>
    <t>al51 pattern x</t>
    <phoneticPr fontId="3" type="noConversion"/>
  </si>
  <si>
    <t>J3 통신안됨</t>
    <phoneticPr fontId="3" type="noConversion"/>
  </si>
  <si>
    <t>장대호</t>
    <phoneticPr fontId="3" type="noConversion"/>
  </si>
  <si>
    <t>B</t>
    <phoneticPr fontId="3" type="noConversion"/>
  </si>
  <si>
    <t>BITS , Wire FEED 안됨</t>
    <phoneticPr fontId="3" type="noConversion"/>
  </si>
  <si>
    <t>자체</t>
    <phoneticPr fontId="3" type="noConversion"/>
  </si>
  <si>
    <t>정기수</t>
    <phoneticPr fontId="3" type="noConversion"/>
  </si>
  <si>
    <t>윤여삼</t>
    <phoneticPr fontId="3" type="noConversion"/>
  </si>
  <si>
    <t>A</t>
    <phoneticPr fontId="3" type="noConversion"/>
  </si>
  <si>
    <t>김효천</t>
    <phoneticPr fontId="3" type="noConversion"/>
  </si>
  <si>
    <t>동작불량</t>
    <phoneticPr fontId="3" type="noConversion"/>
  </si>
  <si>
    <t>허준영</t>
    <phoneticPr fontId="3" type="noConversion"/>
  </si>
  <si>
    <t>BYC8-600 =BYC8X-600 대콘 450V 180UF  12C60 FUSE 6.2A</t>
    <phoneticPr fontId="3" type="noConversion"/>
  </si>
  <si>
    <t>이성곤</t>
    <phoneticPr fontId="3" type="noConversion"/>
  </si>
  <si>
    <t>임수성</t>
    <phoneticPr fontId="3" type="noConversion"/>
  </si>
  <si>
    <t>AGC Error</t>
    <phoneticPr fontId="3" type="noConversion"/>
  </si>
  <si>
    <t>허준영</t>
    <phoneticPr fontId="3" type="noConversion"/>
  </si>
  <si>
    <t>허성석</t>
    <phoneticPr fontId="3" type="noConversion"/>
  </si>
  <si>
    <t>Assembly 2P</t>
    <phoneticPr fontId="3" type="noConversion"/>
  </si>
  <si>
    <t>error / 전원 SMPS 내부 콘덴서 모두 교체</t>
    <phoneticPr fontId="3" type="noConversion"/>
  </si>
  <si>
    <t>R25398</t>
    <phoneticPr fontId="3" type="noConversion"/>
  </si>
  <si>
    <t>신명호</t>
    <phoneticPr fontId="3" type="noConversion"/>
  </si>
  <si>
    <t>tcncp</t>
    <phoneticPr fontId="3" type="noConversion"/>
  </si>
  <si>
    <t>동작불량</t>
    <phoneticPr fontId="3" type="noConversion"/>
  </si>
  <si>
    <t>n/a</t>
    <phoneticPr fontId="3" type="noConversion"/>
  </si>
  <si>
    <t xml:space="preserve">통신 케이블 </t>
    <phoneticPr fontId="3" type="noConversion"/>
  </si>
  <si>
    <t>제작 및 TEST</t>
    <phoneticPr fontId="3" type="noConversion"/>
  </si>
  <si>
    <t>김전욱</t>
    <phoneticPr fontId="3" type="noConversion"/>
  </si>
  <si>
    <t>Main PC</t>
    <phoneticPr fontId="3" type="noConversion"/>
  </si>
  <si>
    <t>No booting / No demage</t>
    <phoneticPr fontId="3" type="noConversion"/>
  </si>
  <si>
    <t>W/B/G</t>
  </si>
  <si>
    <t>PG300RM PC</t>
  </si>
  <si>
    <t>리부팅</t>
  </si>
  <si>
    <t>한승진</t>
    <phoneticPr fontId="3" type="noConversion"/>
  </si>
  <si>
    <t>김종한</t>
    <phoneticPr fontId="3" type="noConversion"/>
  </si>
  <si>
    <t>수리완료</t>
    <phoneticPr fontId="3" type="noConversion"/>
  </si>
  <si>
    <t>A</t>
    <phoneticPr fontId="3" type="noConversion"/>
  </si>
  <si>
    <t>IONIZER</t>
    <phoneticPr fontId="3" type="noConversion"/>
  </si>
  <si>
    <t>ION값 불량</t>
    <phoneticPr fontId="3" type="noConversion"/>
  </si>
  <si>
    <t>자체</t>
    <phoneticPr fontId="3" type="noConversion"/>
  </si>
  <si>
    <t>정기수</t>
    <phoneticPr fontId="3" type="noConversion"/>
  </si>
  <si>
    <t>Singleation</t>
    <phoneticPr fontId="3" type="noConversion"/>
  </si>
  <si>
    <t>ROCKY-4786EVG-RS-R41</t>
  </si>
  <si>
    <t>최경철</t>
    <phoneticPr fontId="3" type="noConversion"/>
  </si>
  <si>
    <t>EE</t>
    <phoneticPr fontId="3" type="noConversion"/>
  </si>
  <si>
    <t>EE1</t>
    <phoneticPr fontId="3" type="noConversion"/>
  </si>
  <si>
    <t>허준영</t>
    <phoneticPr fontId="3" type="noConversion"/>
  </si>
  <si>
    <t>신덕우</t>
    <phoneticPr fontId="3" type="noConversion"/>
  </si>
  <si>
    <t>폐기</t>
    <phoneticPr fontId="3" type="noConversion"/>
  </si>
  <si>
    <t>Ioinzer</t>
    <phoneticPr fontId="3" type="noConversion"/>
  </si>
  <si>
    <t>적색 알람</t>
    <phoneticPr fontId="3" type="noConversion"/>
  </si>
  <si>
    <t>자체</t>
    <phoneticPr fontId="3" type="noConversion"/>
  </si>
  <si>
    <t>정기수</t>
    <phoneticPr fontId="3" type="noConversion"/>
  </si>
  <si>
    <t>박경식</t>
    <phoneticPr fontId="3" type="noConversion"/>
  </si>
  <si>
    <t>F</t>
    <phoneticPr fontId="3" type="noConversion"/>
  </si>
  <si>
    <t>ION값 불량</t>
    <phoneticPr fontId="3" type="noConversion"/>
  </si>
  <si>
    <t>신덕우</t>
    <phoneticPr fontId="3" type="noConversion"/>
  </si>
  <si>
    <t>REMOTE I/O B/D</t>
    <phoneticPr fontId="3" type="noConversion"/>
  </si>
  <si>
    <t>김영환</t>
    <phoneticPr fontId="3" type="noConversion"/>
  </si>
  <si>
    <t>신명호</t>
    <phoneticPr fontId="3" type="noConversion"/>
  </si>
  <si>
    <t>허준영</t>
    <phoneticPr fontId="3" type="noConversion"/>
  </si>
  <si>
    <t>트랜스 Out</t>
    <phoneticPr fontId="3" type="noConversion"/>
  </si>
  <si>
    <t>김정훈</t>
    <phoneticPr fontId="3" type="noConversion"/>
  </si>
  <si>
    <t>PLASAMA</t>
    <phoneticPr fontId="3" type="noConversion"/>
  </si>
  <si>
    <t>신덕우</t>
    <phoneticPr fontId="3" type="noConversion"/>
  </si>
  <si>
    <t>안세왕</t>
    <phoneticPr fontId="3" type="noConversion"/>
  </si>
  <si>
    <t>이영석</t>
    <phoneticPr fontId="3" type="noConversion"/>
  </si>
  <si>
    <t>수리완료</t>
    <phoneticPr fontId="3" type="noConversion"/>
  </si>
  <si>
    <t>F</t>
    <phoneticPr fontId="3" type="noConversion"/>
  </si>
  <si>
    <t>5T1P</t>
    <phoneticPr fontId="3" type="noConversion"/>
  </si>
  <si>
    <t>자체</t>
    <phoneticPr fontId="3" type="noConversion"/>
  </si>
  <si>
    <t>정기수</t>
    <phoneticPr fontId="3" type="noConversion"/>
  </si>
  <si>
    <t>170801406</t>
    <phoneticPr fontId="3" type="noConversion"/>
  </si>
  <si>
    <t>김진환</t>
    <phoneticPr fontId="3" type="noConversion"/>
  </si>
  <si>
    <t>수리완료</t>
    <phoneticPr fontId="3" type="noConversion"/>
  </si>
  <si>
    <t>A</t>
    <phoneticPr fontId="3" type="noConversion"/>
  </si>
  <si>
    <t>ionizer</t>
    <phoneticPr fontId="3" type="noConversion"/>
  </si>
  <si>
    <t>ION값 불량</t>
    <phoneticPr fontId="3" type="noConversion"/>
  </si>
  <si>
    <t>자체</t>
    <phoneticPr fontId="3" type="noConversion"/>
  </si>
  <si>
    <t>정기수</t>
    <phoneticPr fontId="3" type="noConversion"/>
  </si>
  <si>
    <t>170701310</t>
    <phoneticPr fontId="3" type="noConversion"/>
  </si>
  <si>
    <t>150901562</t>
    <phoneticPr fontId="3" type="noConversion"/>
  </si>
  <si>
    <t>이성곤</t>
    <phoneticPr fontId="3" type="noConversion"/>
  </si>
  <si>
    <t>singration</t>
    <phoneticPr fontId="3" type="noConversion"/>
  </si>
  <si>
    <t xml:space="preserve">yaskwa servo pack </t>
    <phoneticPr fontId="3" type="noConversion"/>
  </si>
  <si>
    <t xml:space="preserve"> 전원 on/off </t>
    <phoneticPr fontId="3" type="noConversion"/>
  </si>
  <si>
    <t>SGDM-A5BDA</t>
    <phoneticPr fontId="3" type="noConversion"/>
  </si>
  <si>
    <t>Photocoupler 및 Condenser 교체</t>
    <phoneticPr fontId="3" type="noConversion"/>
  </si>
  <si>
    <t>허준영</t>
    <phoneticPr fontId="3" type="noConversion"/>
  </si>
  <si>
    <t>060800849</t>
    <phoneticPr fontId="3" type="noConversion"/>
  </si>
  <si>
    <t>알람</t>
    <phoneticPr fontId="3" type="noConversion"/>
  </si>
  <si>
    <t>160701023</t>
    <phoneticPr fontId="3" type="noConversion"/>
  </si>
  <si>
    <t>저항 측정기</t>
    <phoneticPr fontId="3" type="noConversion"/>
  </si>
  <si>
    <t>작동 무 / 업체 교환</t>
    <phoneticPr fontId="3" type="noConversion"/>
  </si>
  <si>
    <t>장성복</t>
    <phoneticPr fontId="3" type="noConversion"/>
  </si>
  <si>
    <t>수리완료</t>
    <phoneticPr fontId="3" type="noConversion"/>
  </si>
  <si>
    <t>B</t>
    <phoneticPr fontId="3" type="noConversion"/>
  </si>
  <si>
    <t>160701028</t>
    <phoneticPr fontId="3" type="noConversion"/>
  </si>
  <si>
    <t>170601160</t>
    <phoneticPr fontId="3" type="noConversion"/>
  </si>
  <si>
    <t>최경철</t>
    <phoneticPr fontId="3" type="noConversion"/>
  </si>
  <si>
    <t>EE</t>
    <phoneticPr fontId="3" type="noConversion"/>
  </si>
  <si>
    <t>EE1</t>
    <phoneticPr fontId="3" type="noConversion"/>
  </si>
  <si>
    <t>232 통신 Software 및 Cable 점검</t>
    <phoneticPr fontId="3" type="noConversion"/>
  </si>
  <si>
    <t>허준영</t>
    <phoneticPr fontId="3" type="noConversion"/>
  </si>
  <si>
    <t xml:space="preserve">알람 </t>
    <phoneticPr fontId="3" type="noConversion"/>
  </si>
  <si>
    <t>안세왕</t>
    <phoneticPr fontId="3" type="noConversion"/>
  </si>
  <si>
    <t>VSP</t>
    <phoneticPr fontId="3" type="noConversion"/>
  </si>
  <si>
    <t>DVC</t>
    <phoneticPr fontId="3" type="noConversion"/>
  </si>
  <si>
    <t xml:space="preserve">보상 안됨 </t>
    <phoneticPr fontId="3" type="noConversion"/>
  </si>
  <si>
    <t>강영관</t>
    <phoneticPr fontId="3" type="noConversion"/>
  </si>
  <si>
    <t>SAW</t>
    <phoneticPr fontId="3" type="noConversion"/>
  </si>
  <si>
    <t>LAZER SAW</t>
    <phoneticPr fontId="3" type="noConversion"/>
  </si>
  <si>
    <t>김정훈</t>
    <phoneticPr fontId="3" type="noConversion"/>
  </si>
  <si>
    <t>폐기</t>
    <phoneticPr fontId="3" type="noConversion"/>
  </si>
  <si>
    <t>B</t>
    <phoneticPr fontId="3" type="noConversion"/>
  </si>
  <si>
    <t>IONIZER</t>
    <phoneticPr fontId="3" type="noConversion"/>
  </si>
  <si>
    <t>고압 OUT</t>
    <phoneticPr fontId="3" type="noConversion"/>
  </si>
  <si>
    <t>자체</t>
    <phoneticPr fontId="3" type="noConversion"/>
  </si>
  <si>
    <t>정기수</t>
    <phoneticPr fontId="3" type="noConversion"/>
  </si>
  <si>
    <t>180100362</t>
    <phoneticPr fontId="3" type="noConversion"/>
  </si>
  <si>
    <t>최경희</t>
    <phoneticPr fontId="3" type="noConversion"/>
  </si>
  <si>
    <t>수리완료</t>
    <phoneticPr fontId="3" type="noConversion"/>
  </si>
  <si>
    <t>C</t>
    <phoneticPr fontId="3" type="noConversion"/>
  </si>
  <si>
    <t>3T4P</t>
    <phoneticPr fontId="3" type="noConversion"/>
  </si>
  <si>
    <t>IONIZER</t>
    <phoneticPr fontId="3" type="noConversion"/>
  </si>
  <si>
    <t>ION값 불량</t>
    <phoneticPr fontId="3" type="noConversion"/>
  </si>
  <si>
    <t>181101845</t>
    <phoneticPr fontId="3" type="noConversion"/>
  </si>
  <si>
    <t>자체</t>
    <phoneticPr fontId="3" type="noConversion"/>
  </si>
  <si>
    <t>정기수</t>
    <phoneticPr fontId="3" type="noConversion"/>
  </si>
  <si>
    <t>이성곤</t>
    <phoneticPr fontId="3" type="noConversion"/>
  </si>
  <si>
    <t>K5</t>
    <phoneticPr fontId="3" type="noConversion"/>
  </si>
  <si>
    <t>Bump</t>
    <phoneticPr fontId="3" type="noConversion"/>
  </si>
  <si>
    <t>XS1000</t>
    <phoneticPr fontId="3" type="noConversion"/>
  </si>
  <si>
    <t>통신불량</t>
    <phoneticPr fontId="3" type="noConversion"/>
  </si>
  <si>
    <t>허준영</t>
    <phoneticPr fontId="3" type="noConversion"/>
  </si>
  <si>
    <t>AOI</t>
    <phoneticPr fontId="3" type="noConversion"/>
  </si>
  <si>
    <t>UPS</t>
    <phoneticPr fontId="3" type="noConversion"/>
  </si>
  <si>
    <t>구희철</t>
    <phoneticPr fontId="3" type="noConversion"/>
  </si>
  <si>
    <t>자동전압변환기</t>
    <phoneticPr fontId="3" type="noConversion"/>
  </si>
  <si>
    <t>전압다운됨</t>
    <phoneticPr fontId="3" type="noConversion"/>
  </si>
  <si>
    <t>이영석</t>
    <phoneticPr fontId="3" type="noConversion"/>
  </si>
  <si>
    <t>수리완료</t>
    <phoneticPr fontId="3" type="noConversion"/>
  </si>
  <si>
    <t>F</t>
    <phoneticPr fontId="3" type="noConversion"/>
  </si>
  <si>
    <t>IONIZER</t>
    <phoneticPr fontId="3" type="noConversion"/>
  </si>
  <si>
    <t>센서 불량</t>
    <phoneticPr fontId="3" type="noConversion"/>
  </si>
  <si>
    <t>자체</t>
    <phoneticPr fontId="3" type="noConversion"/>
  </si>
  <si>
    <t>정기수</t>
    <phoneticPr fontId="3" type="noConversion"/>
  </si>
  <si>
    <t>101000895</t>
    <phoneticPr fontId="3" type="noConversion"/>
  </si>
  <si>
    <t>김진만</t>
    <phoneticPr fontId="3" type="noConversion"/>
  </si>
  <si>
    <t>수리완료</t>
    <phoneticPr fontId="3" type="noConversion"/>
  </si>
  <si>
    <t>ion값 불량</t>
    <phoneticPr fontId="3" type="noConversion"/>
  </si>
  <si>
    <t>160600869</t>
    <phoneticPr fontId="3" type="noConversion"/>
  </si>
  <si>
    <t>자체</t>
    <phoneticPr fontId="3" type="noConversion"/>
  </si>
  <si>
    <t>정기수</t>
    <phoneticPr fontId="3" type="noConversion"/>
  </si>
  <si>
    <t>파손된 소자 교체</t>
    <phoneticPr fontId="3" type="noConversion"/>
  </si>
  <si>
    <t>임수성</t>
    <phoneticPr fontId="3" type="noConversion"/>
  </si>
  <si>
    <t>EFO BOX</t>
    <phoneticPr fontId="3" type="noConversion"/>
  </si>
  <si>
    <t>김정훈</t>
    <phoneticPr fontId="3" type="noConversion"/>
  </si>
  <si>
    <t>수리완료</t>
    <phoneticPr fontId="3" type="noConversion"/>
  </si>
  <si>
    <t>B</t>
    <phoneticPr fontId="3" type="noConversion"/>
  </si>
  <si>
    <t>ION값 불량</t>
    <phoneticPr fontId="3" type="noConversion"/>
  </si>
  <si>
    <t>자체</t>
    <phoneticPr fontId="3" type="noConversion"/>
  </si>
  <si>
    <t>정기수</t>
    <phoneticPr fontId="3" type="noConversion"/>
  </si>
  <si>
    <t>수리완료</t>
    <phoneticPr fontId="3" type="noConversion"/>
  </si>
  <si>
    <t>자체</t>
    <phoneticPr fontId="3" type="noConversion"/>
  </si>
  <si>
    <t>정기수</t>
    <phoneticPr fontId="3" type="noConversion"/>
  </si>
  <si>
    <t>171101941</t>
    <phoneticPr fontId="3" type="noConversion"/>
  </si>
  <si>
    <t>ion값 불량</t>
    <phoneticPr fontId="3" type="noConversion"/>
  </si>
  <si>
    <t>170701226</t>
    <phoneticPr fontId="3" type="noConversion"/>
  </si>
  <si>
    <t>최경철</t>
    <phoneticPr fontId="3" type="noConversion"/>
  </si>
  <si>
    <t>TCNCP</t>
    <phoneticPr fontId="3" type="noConversion"/>
  </si>
  <si>
    <t xml:space="preserve">KEYENCE </t>
    <phoneticPr fontId="3" type="noConversion"/>
  </si>
  <si>
    <t>통신불량</t>
    <phoneticPr fontId="3" type="noConversion"/>
  </si>
  <si>
    <t>안세왕</t>
    <phoneticPr fontId="3" type="noConversion"/>
  </si>
  <si>
    <t>김효천</t>
    <phoneticPr fontId="3" type="noConversion"/>
  </si>
  <si>
    <t>left control b/d</t>
    <phoneticPr fontId="3" type="noConversion"/>
  </si>
  <si>
    <t>동작불량</t>
    <phoneticPr fontId="3" type="noConversion"/>
  </si>
  <si>
    <t xml:space="preserve">VSP installation </t>
    <phoneticPr fontId="3" type="noConversion"/>
  </si>
  <si>
    <t>OUT  BATTERY 6개  12V 7A</t>
    <phoneticPr fontId="3" type="noConversion"/>
  </si>
  <si>
    <t>박법규</t>
    <phoneticPr fontId="3" type="noConversion"/>
  </si>
  <si>
    <t>수리완료</t>
    <phoneticPr fontId="3" type="noConversion"/>
  </si>
  <si>
    <t>B</t>
    <phoneticPr fontId="3" type="noConversion"/>
  </si>
  <si>
    <t>2T3P</t>
    <phoneticPr fontId="3" type="noConversion"/>
  </si>
  <si>
    <t>IONIZER</t>
    <phoneticPr fontId="3" type="noConversion"/>
  </si>
  <si>
    <t>알람 발생</t>
    <phoneticPr fontId="3" type="noConversion"/>
  </si>
  <si>
    <t>자체</t>
    <phoneticPr fontId="3" type="noConversion"/>
  </si>
  <si>
    <t>정기수</t>
    <phoneticPr fontId="3" type="noConversion"/>
  </si>
  <si>
    <t>170901694</t>
    <phoneticPr fontId="3" type="noConversion"/>
  </si>
  <si>
    <t>김정훈</t>
    <phoneticPr fontId="3" type="noConversion"/>
  </si>
  <si>
    <t>폐기</t>
    <phoneticPr fontId="3" type="noConversion"/>
  </si>
  <si>
    <t>ION값 불량</t>
    <phoneticPr fontId="3" type="noConversion"/>
  </si>
  <si>
    <t>TOWA teny</t>
    <phoneticPr fontId="3" type="noConversion"/>
  </si>
  <si>
    <t>화면 안나옴 / 분해 콘넥터 삽입 제조립</t>
    <phoneticPr fontId="3" type="noConversion"/>
  </si>
  <si>
    <t>14E-YPM</t>
    <phoneticPr fontId="3" type="noConversion"/>
  </si>
  <si>
    <t>HR-01TW2</t>
  </si>
  <si>
    <t>13A</t>
    <phoneticPr fontId="3" type="noConversion"/>
  </si>
  <si>
    <t>김효천</t>
    <phoneticPr fontId="3" type="noConversion"/>
  </si>
  <si>
    <t>MAIN PC</t>
    <phoneticPr fontId="3" type="noConversion"/>
  </si>
  <si>
    <t>BOOT failure / HDMI 케이블 사용 이상 무</t>
    <phoneticPr fontId="3" type="noConversion"/>
  </si>
  <si>
    <t>4CE9512WHT</t>
    <phoneticPr fontId="3" type="noConversion"/>
  </si>
  <si>
    <t>김미혜</t>
    <phoneticPr fontId="3" type="noConversion"/>
  </si>
  <si>
    <t>수리완료</t>
    <phoneticPr fontId="3" type="noConversion"/>
  </si>
  <si>
    <t>P</t>
    <phoneticPr fontId="3" type="noConversion"/>
  </si>
  <si>
    <t>IONIZER</t>
    <phoneticPr fontId="3" type="noConversion"/>
  </si>
  <si>
    <t>ION 값 불량</t>
    <phoneticPr fontId="3" type="noConversion"/>
  </si>
  <si>
    <t>170601212</t>
    <phoneticPr fontId="3" type="noConversion"/>
  </si>
  <si>
    <t>자체</t>
    <phoneticPr fontId="3" type="noConversion"/>
  </si>
  <si>
    <t>정기수</t>
    <phoneticPr fontId="3" type="noConversion"/>
  </si>
  <si>
    <t>170601208</t>
    <phoneticPr fontId="3" type="noConversion"/>
  </si>
  <si>
    <t>고압 OUT</t>
    <phoneticPr fontId="3" type="noConversion"/>
  </si>
  <si>
    <t>서중권</t>
    <phoneticPr fontId="3" type="noConversion"/>
  </si>
  <si>
    <t>온도제어</t>
    <phoneticPr fontId="3" type="noConversion"/>
  </si>
  <si>
    <t>송종원</t>
    <phoneticPr fontId="3" type="noConversion"/>
  </si>
  <si>
    <t>수리완료</t>
    <phoneticPr fontId="3" type="noConversion"/>
  </si>
  <si>
    <t>B</t>
    <phoneticPr fontId="3" type="noConversion"/>
  </si>
  <si>
    <t>2T1P</t>
    <phoneticPr fontId="3" type="noConversion"/>
  </si>
  <si>
    <t>ION 값 불량</t>
    <phoneticPr fontId="3" type="noConversion"/>
  </si>
  <si>
    <t>140501534</t>
    <phoneticPr fontId="3" type="noConversion"/>
  </si>
  <si>
    <t>자체</t>
    <phoneticPr fontId="3" type="noConversion"/>
  </si>
  <si>
    <t>정기수</t>
    <phoneticPr fontId="3" type="noConversion"/>
  </si>
  <si>
    <t>김광승</t>
    <phoneticPr fontId="3" type="noConversion"/>
  </si>
  <si>
    <t>OVEN</t>
    <phoneticPr fontId="3" type="noConversion"/>
  </si>
  <si>
    <t>PC Type Monitor Pro-face</t>
    <phoneticPr fontId="3" type="noConversion"/>
  </si>
  <si>
    <t>화면 흐리고 안 보임 / 패널 내부 백라이트 2개 교환</t>
    <phoneticPr fontId="3" type="noConversion"/>
  </si>
  <si>
    <t>066959H002782</t>
    <phoneticPr fontId="3" type="noConversion"/>
  </si>
  <si>
    <t>이영석</t>
    <phoneticPr fontId="3" type="noConversion"/>
  </si>
  <si>
    <t>수리완료</t>
    <phoneticPr fontId="3" type="noConversion"/>
  </si>
  <si>
    <t>F</t>
    <phoneticPr fontId="3" type="noConversion"/>
  </si>
  <si>
    <t>5T2P</t>
    <phoneticPr fontId="3" type="noConversion"/>
  </si>
  <si>
    <t>ION값 불량</t>
    <phoneticPr fontId="3" type="noConversion"/>
  </si>
  <si>
    <t>140200910</t>
    <phoneticPr fontId="3" type="noConversion"/>
  </si>
  <si>
    <t>자체</t>
    <phoneticPr fontId="3" type="noConversion"/>
  </si>
  <si>
    <t>정기수</t>
    <phoneticPr fontId="3" type="noConversion"/>
  </si>
  <si>
    <t>171201986</t>
    <phoneticPr fontId="3" type="noConversion"/>
  </si>
  <si>
    <t>점검</t>
    <phoneticPr fontId="3" type="noConversion"/>
  </si>
  <si>
    <t>서중권</t>
    <phoneticPr fontId="3" type="noConversion"/>
  </si>
  <si>
    <t>24V용 220V입력 bruning / 브리지 다이오드 및 저항과 패턴 bruning 연결</t>
    <phoneticPr fontId="3" type="noConversion"/>
  </si>
  <si>
    <t xml:space="preserve">24V용 220V입력 bruning / Input 4051, 브리지 다이오드 및 저항과 패턴 bruning 연결 </t>
    <phoneticPr fontId="3" type="noConversion"/>
  </si>
  <si>
    <t>이정렬</t>
    <phoneticPr fontId="3" type="noConversion"/>
  </si>
  <si>
    <t>폐기</t>
    <phoneticPr fontId="3" type="noConversion"/>
  </si>
  <si>
    <t>P</t>
    <phoneticPr fontId="3" type="noConversion"/>
  </si>
  <si>
    <t>ION값 불량</t>
    <phoneticPr fontId="3" type="noConversion"/>
  </si>
  <si>
    <t>자체</t>
    <phoneticPr fontId="3" type="noConversion"/>
  </si>
  <si>
    <t>정기수</t>
    <phoneticPr fontId="3" type="noConversion"/>
  </si>
  <si>
    <t>한광식</t>
    <phoneticPr fontId="3" type="noConversion"/>
  </si>
  <si>
    <t>power supply</t>
    <phoneticPr fontId="3" type="noConversion"/>
  </si>
  <si>
    <t>구용회</t>
    <phoneticPr fontId="3" type="noConversion"/>
  </si>
  <si>
    <t>이성곤</t>
    <phoneticPr fontId="3" type="noConversion"/>
  </si>
  <si>
    <t>K5</t>
    <phoneticPr fontId="3" type="noConversion"/>
  </si>
  <si>
    <t>윤여삼</t>
    <phoneticPr fontId="3" type="noConversion"/>
  </si>
  <si>
    <t>EFO OPEN</t>
    <phoneticPr fontId="3" type="noConversion"/>
  </si>
  <si>
    <t>EE2</t>
    <phoneticPr fontId="3" type="noConversion"/>
  </si>
  <si>
    <t>Matrox</t>
    <phoneticPr fontId="3" type="noConversion"/>
  </si>
  <si>
    <t>허준영</t>
    <phoneticPr fontId="3" type="noConversion"/>
  </si>
  <si>
    <t>현임창</t>
    <phoneticPr fontId="3" type="noConversion"/>
  </si>
  <si>
    <t>김현만</t>
    <phoneticPr fontId="3" type="noConversion"/>
  </si>
  <si>
    <t>N/A</t>
    <phoneticPr fontId="3" type="noConversion"/>
  </si>
  <si>
    <t>Tower Lamp 점검</t>
    <phoneticPr fontId="3" type="noConversion"/>
  </si>
  <si>
    <t>IO Board</t>
    <phoneticPr fontId="3" type="noConversion"/>
  </si>
  <si>
    <t>Tower Lamp Modify</t>
    <phoneticPr fontId="3" type="noConversion"/>
  </si>
  <si>
    <t>장재혁</t>
    <phoneticPr fontId="3" type="noConversion"/>
  </si>
  <si>
    <t>수리완료</t>
    <phoneticPr fontId="3" type="noConversion"/>
  </si>
  <si>
    <t>F</t>
    <phoneticPr fontId="3" type="noConversion"/>
  </si>
  <si>
    <t>ION 값 불량</t>
    <phoneticPr fontId="3" type="noConversion"/>
  </si>
  <si>
    <t>자체</t>
    <phoneticPr fontId="3" type="noConversion"/>
  </si>
  <si>
    <t>정기수</t>
    <phoneticPr fontId="3" type="noConversion"/>
  </si>
  <si>
    <t>110600493</t>
    <phoneticPr fontId="3" type="noConversion"/>
  </si>
  <si>
    <t>장유생</t>
    <phoneticPr fontId="3" type="noConversion"/>
  </si>
  <si>
    <t>EE</t>
    <phoneticPr fontId="3" type="noConversion"/>
  </si>
  <si>
    <t>EE2</t>
    <phoneticPr fontId="3" type="noConversion"/>
  </si>
  <si>
    <t>AGC Error</t>
    <phoneticPr fontId="3" type="noConversion"/>
  </si>
  <si>
    <t xml:space="preserve">박영준 </t>
    <phoneticPr fontId="3" type="noConversion"/>
  </si>
  <si>
    <t>WBG</t>
    <phoneticPr fontId="3" type="noConversion"/>
  </si>
  <si>
    <t>MITUBISH AC SERVO  MR-J2 -10A</t>
    <phoneticPr fontId="3" type="noConversion"/>
  </si>
  <si>
    <t>ENCODE 불량 AL16</t>
    <phoneticPr fontId="3" type="noConversion"/>
  </si>
  <si>
    <t xml:space="preserve">안세왕 </t>
    <phoneticPr fontId="3" type="noConversion"/>
  </si>
  <si>
    <t>TCNCP</t>
    <phoneticPr fontId="3" type="noConversion"/>
  </si>
  <si>
    <t xml:space="preserve">450W POWER </t>
    <phoneticPr fontId="3" type="noConversion"/>
  </si>
  <si>
    <t>안세왕</t>
    <phoneticPr fontId="3" type="noConversion"/>
  </si>
  <si>
    <t>Clinc</t>
    <phoneticPr fontId="3" type="noConversion"/>
  </si>
  <si>
    <t>MOTOR CONTROL 안됨 / HㆍR Tr out로 교환</t>
    <phoneticPr fontId="3" type="noConversion"/>
  </si>
  <si>
    <t>수리완료</t>
    <phoneticPr fontId="3" type="noConversion"/>
  </si>
  <si>
    <t>소음발생 /test 대기</t>
    <phoneticPr fontId="3" type="noConversion"/>
  </si>
  <si>
    <t>전명원</t>
    <phoneticPr fontId="3" type="noConversion"/>
  </si>
  <si>
    <t>나르미</t>
    <phoneticPr fontId="3" type="noConversion"/>
  </si>
  <si>
    <t>블랙박스</t>
    <phoneticPr fontId="3" type="noConversion"/>
  </si>
  <si>
    <t>윤여삼</t>
    <phoneticPr fontId="3" type="noConversion"/>
  </si>
  <si>
    <t>AGC Error</t>
    <phoneticPr fontId="3" type="noConversion"/>
  </si>
  <si>
    <t>허준영</t>
    <phoneticPr fontId="3" type="noConversion"/>
  </si>
  <si>
    <t>강성열</t>
    <phoneticPr fontId="3" type="noConversion"/>
  </si>
  <si>
    <t>구용회</t>
    <phoneticPr fontId="3" type="noConversion"/>
  </si>
  <si>
    <t>EE</t>
    <phoneticPr fontId="3" type="noConversion"/>
  </si>
  <si>
    <t>EE2</t>
    <phoneticPr fontId="3" type="noConversion"/>
  </si>
  <si>
    <t>허준영</t>
    <phoneticPr fontId="3" type="noConversion"/>
  </si>
  <si>
    <t>정승겸</t>
    <phoneticPr fontId="3" type="noConversion"/>
  </si>
  <si>
    <t>팬 모터</t>
    <phoneticPr fontId="3" type="noConversion"/>
  </si>
  <si>
    <t>AC Motor</t>
    <phoneticPr fontId="3" type="noConversion"/>
  </si>
  <si>
    <t>분해하여 크리닝 하고 기름 치고 제 조립</t>
    <phoneticPr fontId="3" type="noConversion"/>
  </si>
  <si>
    <t>동작 불량 / TEST 대기</t>
    <phoneticPr fontId="3" type="noConversion"/>
  </si>
  <si>
    <t>정일영</t>
    <phoneticPr fontId="3" type="noConversion"/>
  </si>
  <si>
    <t>Other</t>
    <phoneticPr fontId="3" type="noConversion"/>
  </si>
  <si>
    <t>Main Board</t>
    <phoneticPr fontId="3" type="noConversion"/>
  </si>
  <si>
    <t>통신불량</t>
    <phoneticPr fontId="3" type="noConversion"/>
  </si>
  <si>
    <t>외주</t>
    <phoneticPr fontId="3" type="noConversion"/>
  </si>
  <si>
    <t>큐텍코리아</t>
    <phoneticPr fontId="3" type="noConversion"/>
  </si>
  <si>
    <t>장은철</t>
    <phoneticPr fontId="3" type="noConversion"/>
  </si>
  <si>
    <t>정일열</t>
    <phoneticPr fontId="3" type="noConversion"/>
  </si>
  <si>
    <t>자동화</t>
    <phoneticPr fontId="3" type="noConversion"/>
  </si>
  <si>
    <t>자동화</t>
    <phoneticPr fontId="3" type="noConversion"/>
  </si>
  <si>
    <t>10"팬던트</t>
    <phoneticPr fontId="3" type="noConversion"/>
  </si>
  <si>
    <t>터치판넬 구매중</t>
    <phoneticPr fontId="3" type="noConversion"/>
  </si>
  <si>
    <t>SAFTY B/D</t>
    <phoneticPr fontId="3" type="noConversion"/>
  </si>
  <si>
    <t>통신단자 불안정</t>
    <phoneticPr fontId="3" type="noConversion"/>
  </si>
  <si>
    <t>power 안나옴</t>
    <phoneticPr fontId="3" type="noConversion"/>
  </si>
  <si>
    <t>소성환</t>
    <phoneticPr fontId="3" type="noConversion"/>
  </si>
  <si>
    <t>EE</t>
    <phoneticPr fontId="3" type="noConversion"/>
  </si>
  <si>
    <t>EE2</t>
    <phoneticPr fontId="3" type="noConversion"/>
  </si>
  <si>
    <t>Battery Pack</t>
    <phoneticPr fontId="3" type="noConversion"/>
  </si>
  <si>
    <t>허준영</t>
    <phoneticPr fontId="3" type="noConversion"/>
  </si>
  <si>
    <t>정기수</t>
    <phoneticPr fontId="3" type="noConversion"/>
  </si>
  <si>
    <t>강영관</t>
    <phoneticPr fontId="3" type="noConversion"/>
  </si>
  <si>
    <t>이백범</t>
    <phoneticPr fontId="3" type="noConversion"/>
  </si>
  <si>
    <t>전원 불 안정 ./ 내부 콘덴서 모두 교체</t>
    <phoneticPr fontId="3" type="noConversion"/>
  </si>
  <si>
    <t>Printer</t>
    <phoneticPr fontId="3" type="noConversion"/>
  </si>
  <si>
    <t>SMPS</t>
    <phoneticPr fontId="3" type="noConversion"/>
  </si>
  <si>
    <t>3T8P</t>
  </si>
  <si>
    <t>VUM1I19522</t>
    <phoneticPr fontId="3" type="noConversion"/>
  </si>
  <si>
    <t>XQM1D34515</t>
    <phoneticPr fontId="3" type="noConversion"/>
  </si>
  <si>
    <t>안세왕</t>
    <phoneticPr fontId="3" type="noConversion"/>
  </si>
  <si>
    <t>VUM1P19579</t>
    <phoneticPr fontId="3" type="noConversion"/>
  </si>
  <si>
    <t>XQM1D34519</t>
    <phoneticPr fontId="3" type="noConversion"/>
  </si>
  <si>
    <t>VUM1P19581</t>
    <phoneticPr fontId="3" type="noConversion"/>
  </si>
  <si>
    <t>VUM1P19523</t>
    <phoneticPr fontId="3" type="noConversion"/>
  </si>
  <si>
    <t>김정</t>
    <phoneticPr fontId="3" type="noConversion"/>
  </si>
  <si>
    <t>이영석</t>
    <phoneticPr fontId="3" type="noConversion"/>
  </si>
  <si>
    <t>N/A</t>
    <phoneticPr fontId="3" type="noConversion"/>
  </si>
  <si>
    <t>TOUCH Monitor PC</t>
    <phoneticPr fontId="3" type="noConversion"/>
  </si>
  <si>
    <t>정기수</t>
    <phoneticPr fontId="3" type="noConversion"/>
  </si>
  <si>
    <t>화면 출력 안됨./패널 구매중</t>
    <phoneticPr fontId="3" type="noConversion"/>
  </si>
  <si>
    <t>DA</t>
    <phoneticPr fontId="3" type="noConversion"/>
  </si>
  <si>
    <t xml:space="preserve">FORCE SENSORING BD </t>
    <phoneticPr fontId="3" type="noConversion"/>
  </si>
  <si>
    <t>TENTION connecter  OUT</t>
    <phoneticPr fontId="3" type="noConversion"/>
  </si>
  <si>
    <t>고규식</t>
    <phoneticPr fontId="3" type="noConversion"/>
  </si>
  <si>
    <t>수리완료</t>
    <phoneticPr fontId="3" type="noConversion"/>
  </si>
  <si>
    <t>EE</t>
    <phoneticPr fontId="3" type="noConversion"/>
  </si>
  <si>
    <t>EE1</t>
    <phoneticPr fontId="3" type="noConversion"/>
  </si>
  <si>
    <t>TCNCP</t>
    <phoneticPr fontId="3" type="noConversion"/>
  </si>
  <si>
    <t>581B901D</t>
    <phoneticPr fontId="3" type="noConversion"/>
  </si>
  <si>
    <t>배터리 교체</t>
    <phoneticPr fontId="3" type="noConversion"/>
  </si>
  <si>
    <t>자체</t>
    <phoneticPr fontId="3" type="noConversion"/>
  </si>
  <si>
    <t>정기수</t>
    <phoneticPr fontId="3" type="noConversion"/>
  </si>
  <si>
    <t>윤여삼</t>
    <phoneticPr fontId="3" type="noConversion"/>
  </si>
  <si>
    <t>A</t>
    <phoneticPr fontId="3" type="noConversion"/>
  </si>
  <si>
    <t>bits agc</t>
    <phoneticPr fontId="3" type="noConversion"/>
  </si>
  <si>
    <t>자체</t>
    <phoneticPr fontId="3" type="noConversion"/>
  </si>
  <si>
    <t>정기수</t>
    <phoneticPr fontId="3" type="noConversion"/>
  </si>
  <si>
    <t>고규식</t>
    <phoneticPr fontId="3" type="noConversion"/>
  </si>
  <si>
    <t>FL SWITCH SFNB 8TX</t>
    <phoneticPr fontId="3" type="noConversion"/>
  </si>
  <si>
    <t>허준영</t>
    <phoneticPr fontId="3" type="noConversion"/>
  </si>
  <si>
    <t>전원 이상</t>
    <phoneticPr fontId="3" type="noConversion"/>
  </si>
  <si>
    <t>k5</t>
    <phoneticPr fontId="3" type="noConversion"/>
  </si>
  <si>
    <t>display 안됨</t>
    <phoneticPr fontId="3" type="noConversion"/>
  </si>
  <si>
    <t>임수성</t>
    <phoneticPr fontId="3" type="noConversion"/>
  </si>
  <si>
    <t>EFO Cable</t>
    <phoneticPr fontId="3" type="noConversion"/>
  </si>
  <si>
    <t>저항교체</t>
    <phoneticPr fontId="3" type="noConversion"/>
  </si>
  <si>
    <t>최정훈</t>
    <phoneticPr fontId="3" type="noConversion"/>
  </si>
  <si>
    <t>SAT</t>
    <phoneticPr fontId="3" type="noConversion"/>
  </si>
  <si>
    <t>SERVO DRIVER</t>
    <phoneticPr fontId="3" type="noConversion"/>
  </si>
  <si>
    <t>X축 이상</t>
    <phoneticPr fontId="3" type="noConversion"/>
  </si>
  <si>
    <t>장대호</t>
    <phoneticPr fontId="3" type="noConversion"/>
  </si>
  <si>
    <t>Booting Fail</t>
    <phoneticPr fontId="3" type="noConversion"/>
  </si>
  <si>
    <t>허준영</t>
    <phoneticPr fontId="3" type="noConversion"/>
  </si>
  <si>
    <t>양강호</t>
    <phoneticPr fontId="3" type="noConversion"/>
  </si>
  <si>
    <t>oven</t>
    <phoneticPr fontId="3" type="noConversion"/>
  </si>
  <si>
    <t>이동규</t>
    <phoneticPr fontId="3" type="noConversion"/>
  </si>
  <si>
    <t>System PC Power Supply</t>
    <phoneticPr fontId="3" type="noConversion"/>
  </si>
  <si>
    <t>Modify</t>
    <phoneticPr fontId="3" type="noConversion"/>
  </si>
  <si>
    <t>허준영</t>
    <phoneticPr fontId="3" type="noConversion"/>
  </si>
  <si>
    <t>안세왕</t>
    <phoneticPr fontId="3" type="noConversion"/>
  </si>
  <si>
    <t>Other</t>
    <phoneticPr fontId="3" type="noConversion"/>
  </si>
  <si>
    <t>LED Driver</t>
    <phoneticPr fontId="3" type="noConversion"/>
  </si>
  <si>
    <t>불안정 / 콘덴서 교체</t>
    <phoneticPr fontId="3" type="noConversion"/>
  </si>
  <si>
    <t>화면 불안정 / 콘덴서 교체</t>
    <phoneticPr fontId="3" type="noConversion"/>
  </si>
  <si>
    <t>N/A</t>
    <phoneticPr fontId="3" type="noConversion"/>
  </si>
  <si>
    <t>QA</t>
    <phoneticPr fontId="3" type="noConversion"/>
  </si>
  <si>
    <t>최대로</t>
    <phoneticPr fontId="3" type="noConversion"/>
  </si>
  <si>
    <t>동작 불량</t>
    <phoneticPr fontId="3" type="noConversion"/>
  </si>
  <si>
    <t>외주</t>
    <phoneticPr fontId="3" type="noConversion"/>
  </si>
  <si>
    <t>장은철</t>
    <phoneticPr fontId="3" type="noConversion"/>
  </si>
  <si>
    <t>진선규</t>
    <phoneticPr fontId="3" type="noConversion"/>
  </si>
  <si>
    <t>p/saw</t>
    <phoneticPr fontId="3" type="noConversion"/>
  </si>
  <si>
    <t>position error</t>
    <phoneticPr fontId="3" type="noConversion"/>
  </si>
  <si>
    <t>05B0058</t>
    <phoneticPr fontId="3" type="noConversion"/>
  </si>
  <si>
    <t>김진환</t>
    <phoneticPr fontId="3" type="noConversion"/>
  </si>
  <si>
    <t>G</t>
    <phoneticPr fontId="3" type="noConversion"/>
  </si>
  <si>
    <t>6T2P</t>
    <phoneticPr fontId="3" type="noConversion"/>
  </si>
  <si>
    <t>W/G/B</t>
    <phoneticPr fontId="3" type="noConversion"/>
  </si>
  <si>
    <t>장비 PC</t>
    <phoneticPr fontId="3" type="noConversion"/>
  </si>
  <si>
    <t>부팅 안됨</t>
    <phoneticPr fontId="3" type="noConversion"/>
  </si>
  <si>
    <t>장은철</t>
    <phoneticPr fontId="3" type="noConversion"/>
  </si>
  <si>
    <t>C416NS1003</t>
    <phoneticPr fontId="3" type="noConversion"/>
  </si>
  <si>
    <t>허수웅</t>
    <phoneticPr fontId="3" type="noConversion"/>
  </si>
  <si>
    <t>F</t>
    <phoneticPr fontId="3" type="noConversion"/>
  </si>
  <si>
    <t>5T2P</t>
    <phoneticPr fontId="3" type="noConversion"/>
  </si>
  <si>
    <t>화면 서서히 나감</t>
    <phoneticPr fontId="3" type="noConversion"/>
  </si>
  <si>
    <t>자체</t>
    <phoneticPr fontId="3" type="noConversion"/>
  </si>
  <si>
    <t>정기수</t>
    <phoneticPr fontId="3" type="noConversion"/>
  </si>
  <si>
    <t>강성열</t>
    <phoneticPr fontId="3" type="noConversion"/>
  </si>
  <si>
    <t>허준영</t>
    <phoneticPr fontId="3" type="noConversion"/>
  </si>
  <si>
    <t>Power Conncetor 제작</t>
    <phoneticPr fontId="3" type="noConversion"/>
  </si>
  <si>
    <t>Power Connector 제작</t>
    <phoneticPr fontId="3" type="noConversion"/>
  </si>
  <si>
    <t>조정범</t>
    <phoneticPr fontId="3" type="noConversion"/>
  </si>
  <si>
    <t>sba</t>
    <phoneticPr fontId="3" type="noConversion"/>
  </si>
  <si>
    <t xml:space="preserve">error led on </t>
    <phoneticPr fontId="3" type="noConversion"/>
  </si>
  <si>
    <t>all c</t>
    <phoneticPr fontId="3" type="noConversion"/>
  </si>
  <si>
    <t>수리완료</t>
    <phoneticPr fontId="3" type="noConversion"/>
  </si>
  <si>
    <t>N/A</t>
    <phoneticPr fontId="3" type="noConversion"/>
  </si>
  <si>
    <t>전원 안됨</t>
    <phoneticPr fontId="3" type="noConversion"/>
  </si>
  <si>
    <t>자체</t>
    <phoneticPr fontId="3" type="noConversion"/>
  </si>
  <si>
    <t>정기수</t>
    <phoneticPr fontId="3" type="noConversion"/>
  </si>
  <si>
    <t>Solder</t>
    <phoneticPr fontId="3" type="noConversion"/>
  </si>
  <si>
    <t>전원 안들어 옴 / 내부 퓨즈 35V 750mA -&gt; 250V 5mA 교체</t>
    <phoneticPr fontId="3" type="noConversion"/>
  </si>
  <si>
    <t>X88-41300301</t>
    <phoneticPr fontId="3" type="noConversion"/>
  </si>
  <si>
    <t>오순종</t>
    <phoneticPr fontId="3" type="noConversion"/>
  </si>
  <si>
    <t>TOUCH MONITOR</t>
    <phoneticPr fontId="3" type="noConversion"/>
  </si>
  <si>
    <t>전다환</t>
    <phoneticPr fontId="3" type="noConversion"/>
  </si>
  <si>
    <t>G</t>
    <phoneticPr fontId="3" type="noConversion"/>
  </si>
  <si>
    <t>Bump1</t>
    <phoneticPr fontId="3" type="noConversion"/>
  </si>
  <si>
    <t>System PC</t>
    <phoneticPr fontId="3" type="noConversion"/>
  </si>
  <si>
    <t>허준영</t>
    <phoneticPr fontId="3" type="noConversion"/>
  </si>
  <si>
    <t>Booting Fail</t>
    <phoneticPr fontId="3" type="noConversion"/>
  </si>
  <si>
    <t>한기호</t>
    <phoneticPr fontId="3" type="noConversion"/>
  </si>
  <si>
    <t>EE</t>
    <phoneticPr fontId="3" type="noConversion"/>
  </si>
  <si>
    <t>EE2</t>
    <phoneticPr fontId="3" type="noConversion"/>
  </si>
  <si>
    <t>CS75-24</t>
    <phoneticPr fontId="3" type="noConversion"/>
  </si>
  <si>
    <t>Out put X</t>
    <phoneticPr fontId="3" type="noConversion"/>
  </si>
  <si>
    <t>허준영</t>
    <phoneticPr fontId="3" type="noConversion"/>
  </si>
  <si>
    <t>윤여삼</t>
    <phoneticPr fontId="3" type="noConversion"/>
  </si>
  <si>
    <t>Spool Motor 불량</t>
    <phoneticPr fontId="3" type="noConversion"/>
  </si>
  <si>
    <t>강영관</t>
    <phoneticPr fontId="3" type="noConversion"/>
  </si>
  <si>
    <t>SAW</t>
    <phoneticPr fontId="3" type="noConversion"/>
  </si>
  <si>
    <t>VSP 설치</t>
    <phoneticPr fontId="3" type="noConversion"/>
  </si>
  <si>
    <t>VSP</t>
    <phoneticPr fontId="3" type="noConversion"/>
  </si>
  <si>
    <t>윤여삼</t>
    <phoneticPr fontId="3" type="noConversion"/>
  </si>
  <si>
    <t>power supply assy</t>
    <phoneticPr fontId="3" type="noConversion"/>
  </si>
  <si>
    <t>low power</t>
    <phoneticPr fontId="3" type="noConversion"/>
  </si>
  <si>
    <t>윤여삼</t>
    <phoneticPr fontId="3" type="noConversion"/>
  </si>
  <si>
    <t>조정범</t>
    <phoneticPr fontId="3" type="noConversion"/>
  </si>
  <si>
    <t>sba</t>
    <phoneticPr fontId="3" type="noConversion"/>
  </si>
  <si>
    <t>power supply</t>
    <phoneticPr fontId="3" type="noConversion"/>
  </si>
  <si>
    <t>출력안됨</t>
    <phoneticPr fontId="3" type="noConversion"/>
  </si>
  <si>
    <t>오도일</t>
    <phoneticPr fontId="3" type="noConversion"/>
  </si>
  <si>
    <t>정기수</t>
    <phoneticPr fontId="3" type="noConversion"/>
  </si>
  <si>
    <t>박지원</t>
    <phoneticPr fontId="3" type="noConversion"/>
  </si>
  <si>
    <t>EE</t>
    <phoneticPr fontId="3" type="noConversion"/>
  </si>
  <si>
    <t>EE1</t>
    <phoneticPr fontId="3" type="noConversion"/>
  </si>
  <si>
    <t>12V Adapter</t>
    <phoneticPr fontId="3" type="noConversion"/>
  </si>
  <si>
    <t>출력불량</t>
    <phoneticPr fontId="3" type="noConversion"/>
  </si>
  <si>
    <t>허준영</t>
    <phoneticPr fontId="3" type="noConversion"/>
  </si>
  <si>
    <t>강영구</t>
    <phoneticPr fontId="3" type="noConversion"/>
  </si>
  <si>
    <t xml:space="preserve">OUT DEVICE TEST후 RELAY OFF 안되는것은 PROGRAM RE INSTALL후 정상 동작함 </t>
    <phoneticPr fontId="3" type="noConversion"/>
  </si>
  <si>
    <t>신덕우</t>
    <phoneticPr fontId="3" type="noConversion"/>
  </si>
  <si>
    <t>TOUCH MONITOR</t>
    <phoneticPr fontId="3" type="noConversion"/>
  </si>
  <si>
    <t>화면 안나옹 / 컨트롤 보드 수리(메인칩 퓨즈 out) 모든 콘덴서 교체</t>
    <phoneticPr fontId="3" type="noConversion"/>
  </si>
  <si>
    <t>인사총무</t>
    <phoneticPr fontId="3" type="noConversion"/>
  </si>
  <si>
    <t>TV</t>
    <phoneticPr fontId="3" type="noConversion"/>
  </si>
  <si>
    <t>정승겸</t>
    <phoneticPr fontId="3" type="noConversion"/>
  </si>
  <si>
    <t>수리완료</t>
    <phoneticPr fontId="3" type="noConversion"/>
  </si>
  <si>
    <t>QA</t>
    <phoneticPr fontId="3" type="noConversion"/>
  </si>
  <si>
    <t>QA</t>
    <phoneticPr fontId="3" type="noConversion"/>
  </si>
  <si>
    <t>N/A</t>
    <phoneticPr fontId="3" type="noConversion"/>
  </si>
  <si>
    <t>불량</t>
    <phoneticPr fontId="3" type="noConversion"/>
  </si>
  <si>
    <t>자체</t>
    <phoneticPr fontId="3" type="noConversion"/>
  </si>
  <si>
    <t>정기수</t>
    <phoneticPr fontId="3" type="noConversion"/>
  </si>
  <si>
    <t>허준영</t>
    <phoneticPr fontId="3" type="noConversion"/>
  </si>
  <si>
    <t>장은철</t>
    <phoneticPr fontId="3" type="noConversion"/>
  </si>
  <si>
    <t>정덕우</t>
    <phoneticPr fontId="3" type="noConversion"/>
  </si>
  <si>
    <t>N.A</t>
    <phoneticPr fontId="3" type="noConversion"/>
  </si>
  <si>
    <t>ESD Checker RFID reader 점검</t>
    <phoneticPr fontId="3" type="noConversion"/>
  </si>
  <si>
    <t>ESD Checker RFID reader 점검</t>
    <phoneticPr fontId="3" type="noConversion"/>
  </si>
  <si>
    <t>자체</t>
    <phoneticPr fontId="3" type="noConversion"/>
  </si>
  <si>
    <t>신덕우</t>
    <phoneticPr fontId="3" type="noConversion"/>
  </si>
  <si>
    <t xml:space="preserve">POWER SUPPLY DIGITAL BD </t>
    <phoneticPr fontId="3" type="noConversion"/>
  </si>
  <si>
    <t>강영구</t>
    <phoneticPr fontId="3" type="noConversion"/>
  </si>
  <si>
    <t xml:space="preserve">DIGITAL B/D </t>
    <phoneticPr fontId="3" type="noConversion"/>
  </si>
  <si>
    <t xml:space="preserve">CH 8  OUT  </t>
    <phoneticPr fontId="3" type="noConversion"/>
  </si>
  <si>
    <t>정봉석</t>
    <phoneticPr fontId="3" type="noConversion"/>
  </si>
  <si>
    <t>Laser Sensor</t>
    <phoneticPr fontId="3" type="noConversion"/>
  </si>
  <si>
    <t>장재혁</t>
    <phoneticPr fontId="3" type="noConversion"/>
  </si>
  <si>
    <t>ionizer</t>
    <phoneticPr fontId="3" type="noConversion"/>
  </si>
  <si>
    <t>ion값 불량</t>
    <phoneticPr fontId="3" type="noConversion"/>
  </si>
  <si>
    <t>자체</t>
    <phoneticPr fontId="3" type="noConversion"/>
  </si>
  <si>
    <t>정기수</t>
    <phoneticPr fontId="3" type="noConversion"/>
  </si>
  <si>
    <t>화면 안들어옴</t>
    <phoneticPr fontId="3" type="noConversion"/>
  </si>
  <si>
    <t>신명호</t>
    <phoneticPr fontId="3" type="noConversion"/>
  </si>
  <si>
    <t>tcncp</t>
    <phoneticPr fontId="3" type="noConversion"/>
  </si>
  <si>
    <t>동작불량</t>
    <phoneticPr fontId="3" type="noConversion"/>
  </si>
  <si>
    <t>120200186</t>
    <phoneticPr fontId="3" type="noConversion"/>
  </si>
  <si>
    <t>김교혁</t>
    <phoneticPr fontId="3" type="noConversion"/>
  </si>
  <si>
    <t>구희철</t>
    <phoneticPr fontId="3" type="noConversion"/>
  </si>
  <si>
    <t>Sonix</t>
    <phoneticPr fontId="3" type="noConversion"/>
  </si>
  <si>
    <t>Sonix 장비 점검</t>
    <phoneticPr fontId="3" type="noConversion"/>
  </si>
  <si>
    <t>X 축 동작 불량</t>
    <phoneticPr fontId="3" type="noConversion"/>
  </si>
  <si>
    <t>장은철</t>
    <phoneticPr fontId="3" type="noConversion"/>
  </si>
  <si>
    <t>허준영</t>
    <phoneticPr fontId="3" type="noConversion"/>
  </si>
  <si>
    <t>TEST 장비 점검</t>
    <phoneticPr fontId="3" type="noConversion"/>
  </si>
  <si>
    <t>VSP 용량 및 장비 점검</t>
    <phoneticPr fontId="3" type="noConversion"/>
  </si>
  <si>
    <t>EE</t>
    <phoneticPr fontId="3" type="noConversion"/>
  </si>
  <si>
    <t>EE1</t>
    <phoneticPr fontId="3" type="noConversion"/>
  </si>
  <si>
    <t>최경철</t>
    <phoneticPr fontId="3" type="noConversion"/>
  </si>
  <si>
    <t>안세왕</t>
    <phoneticPr fontId="3" type="noConversion"/>
  </si>
  <si>
    <t>VUM1P19580</t>
    <phoneticPr fontId="3" type="noConversion"/>
  </si>
  <si>
    <t>김재영</t>
    <phoneticPr fontId="3" type="noConversion"/>
  </si>
  <si>
    <t>Solder</t>
    <phoneticPr fontId="3" type="noConversion"/>
  </si>
  <si>
    <t>00525958</t>
    <phoneticPr fontId="3" type="noConversion"/>
  </si>
  <si>
    <t>양강호</t>
    <phoneticPr fontId="3" type="noConversion"/>
  </si>
  <si>
    <t>mold</t>
    <phoneticPr fontId="3" type="noConversion"/>
  </si>
  <si>
    <t>bb block  parameter manual 기입 programming cable 구매중</t>
    <phoneticPr fontId="3" type="noConversion"/>
  </si>
  <si>
    <t>수리완료</t>
    <phoneticPr fontId="3" type="noConversion"/>
  </si>
  <si>
    <t>자체</t>
    <phoneticPr fontId="3" type="noConversion"/>
  </si>
  <si>
    <t>허준영</t>
    <phoneticPr fontId="3" type="noConversion"/>
  </si>
  <si>
    <t>정기수</t>
    <phoneticPr fontId="3" type="noConversion"/>
  </si>
  <si>
    <t>남병용</t>
    <phoneticPr fontId="3" type="noConversion"/>
  </si>
  <si>
    <t>신명호</t>
    <phoneticPr fontId="3" type="noConversion"/>
  </si>
  <si>
    <t>EE</t>
    <phoneticPr fontId="3" type="noConversion"/>
  </si>
  <si>
    <t>EE2</t>
    <phoneticPr fontId="3" type="noConversion"/>
  </si>
  <si>
    <t>Matrox</t>
    <phoneticPr fontId="3" type="noConversion"/>
  </si>
  <si>
    <t>Camera 불량</t>
    <phoneticPr fontId="3" type="noConversion"/>
  </si>
  <si>
    <t>허준영</t>
    <phoneticPr fontId="3" type="noConversion"/>
  </si>
  <si>
    <t>BS75SW</t>
    <phoneticPr fontId="3" type="noConversion"/>
  </si>
  <si>
    <t>유성수</t>
    <phoneticPr fontId="3" type="noConversion"/>
  </si>
  <si>
    <t>MOUNT</t>
    <phoneticPr fontId="3" type="noConversion"/>
  </si>
  <si>
    <t>TOUCH MONITOR</t>
    <phoneticPr fontId="3" type="noConversion"/>
  </si>
  <si>
    <t>터치불량</t>
    <phoneticPr fontId="3" type="noConversion"/>
  </si>
  <si>
    <t>밸브크리너</t>
    <phoneticPr fontId="3" type="noConversion"/>
  </si>
  <si>
    <t>전압불안정</t>
    <phoneticPr fontId="3" type="noConversion"/>
  </si>
  <si>
    <t>변태운</t>
    <phoneticPr fontId="3" type="noConversion"/>
  </si>
  <si>
    <t>손경원</t>
    <phoneticPr fontId="3" type="noConversion"/>
  </si>
  <si>
    <t>FCBGA</t>
    <phoneticPr fontId="3" type="noConversion"/>
  </si>
  <si>
    <t>BRIX METER</t>
    <phoneticPr fontId="3" type="noConversion"/>
  </si>
  <si>
    <t>김환묵</t>
    <phoneticPr fontId="3" type="noConversion"/>
  </si>
  <si>
    <t>Ionizer</t>
    <phoneticPr fontId="3" type="noConversion"/>
  </si>
  <si>
    <t>SMPS</t>
    <phoneticPr fontId="3" type="noConversion"/>
  </si>
  <si>
    <t>내부 모든 콘덴서 및 바리스터 파손으로 교체</t>
    <phoneticPr fontId="3" type="noConversion"/>
  </si>
  <si>
    <t>한광식</t>
    <phoneticPr fontId="3" type="noConversion"/>
  </si>
  <si>
    <t>폐기</t>
    <phoneticPr fontId="3" type="noConversion"/>
  </si>
  <si>
    <t>F</t>
    <phoneticPr fontId="3" type="noConversion"/>
  </si>
  <si>
    <t>IONIZER</t>
    <phoneticPr fontId="3" type="noConversion"/>
  </si>
  <si>
    <t>FAN 파손 / 부속품 부족으로 폐기</t>
    <phoneticPr fontId="3" type="noConversion"/>
  </si>
  <si>
    <t>자체</t>
    <phoneticPr fontId="3" type="noConversion"/>
  </si>
  <si>
    <t>정기수</t>
    <phoneticPr fontId="3" type="noConversion"/>
  </si>
  <si>
    <t>141340114263011</t>
    <phoneticPr fontId="3" type="noConversion"/>
  </si>
  <si>
    <t>한광식</t>
    <phoneticPr fontId="3" type="noConversion"/>
  </si>
  <si>
    <t>ionizer</t>
    <phoneticPr fontId="3" type="noConversion"/>
  </si>
  <si>
    <t>ion값 불량</t>
    <phoneticPr fontId="3" type="noConversion"/>
  </si>
  <si>
    <t>자체</t>
    <phoneticPr fontId="3" type="noConversion"/>
  </si>
  <si>
    <t>정기수</t>
    <phoneticPr fontId="3" type="noConversion"/>
  </si>
  <si>
    <t>수리완료</t>
    <phoneticPr fontId="3" type="noConversion"/>
  </si>
  <si>
    <t>정효면</t>
    <phoneticPr fontId="3" type="noConversion"/>
  </si>
  <si>
    <t>System PC</t>
    <phoneticPr fontId="3" type="noConversion"/>
  </si>
  <si>
    <t>Booting Fail</t>
    <phoneticPr fontId="3" type="noConversion"/>
  </si>
  <si>
    <t>허준영</t>
    <phoneticPr fontId="3" type="noConversion"/>
  </si>
  <si>
    <t>C</t>
    <phoneticPr fontId="3" type="noConversion"/>
  </si>
  <si>
    <t>3T1P</t>
    <phoneticPr fontId="3" type="noConversion"/>
  </si>
  <si>
    <t>Hybrid</t>
    <phoneticPr fontId="3" type="noConversion"/>
  </si>
  <si>
    <t>화면 덜림 / 패널 out 입고로 교체</t>
    <phoneticPr fontId="3" type="noConversion"/>
  </si>
  <si>
    <t>CNU11028CZ</t>
    <phoneticPr fontId="3" type="noConversion"/>
  </si>
  <si>
    <t>정기수</t>
    <phoneticPr fontId="3" type="noConversion"/>
  </si>
  <si>
    <t>DELL760</t>
    <phoneticPr fontId="3" type="noConversion"/>
  </si>
  <si>
    <t>SMPS</t>
    <phoneticPr fontId="3" type="noConversion"/>
  </si>
  <si>
    <t>전원 출력 안됨 / 모든 콘덴서 교체 TNY280 교체</t>
    <phoneticPr fontId="3" type="noConversion"/>
  </si>
  <si>
    <t>CN-0GPGDV-71300-08G-012G-A00</t>
    <phoneticPr fontId="3" type="noConversion"/>
  </si>
  <si>
    <t>김정훈</t>
    <phoneticPr fontId="3" type="noConversion"/>
  </si>
  <si>
    <t>HIPEC I/O B/D</t>
    <phoneticPr fontId="3" type="noConversion"/>
  </si>
  <si>
    <t>특정 I/O불량</t>
    <phoneticPr fontId="3" type="noConversion"/>
  </si>
  <si>
    <t>이성문</t>
    <phoneticPr fontId="3" type="noConversion"/>
  </si>
  <si>
    <t>허수웅</t>
    <phoneticPr fontId="3" type="noConversion"/>
  </si>
  <si>
    <t>F</t>
    <phoneticPr fontId="3" type="noConversion"/>
  </si>
  <si>
    <t>5T1P</t>
    <phoneticPr fontId="3" type="noConversion"/>
  </si>
  <si>
    <t>C/A</t>
    <phoneticPr fontId="3" type="noConversion"/>
  </si>
  <si>
    <t>작업등</t>
    <phoneticPr fontId="3" type="noConversion"/>
  </si>
  <si>
    <t>배터리 나감</t>
    <phoneticPr fontId="3" type="noConversion"/>
  </si>
  <si>
    <t>자체</t>
    <phoneticPr fontId="3" type="noConversion"/>
  </si>
  <si>
    <t>최준영</t>
    <phoneticPr fontId="3" type="noConversion"/>
  </si>
  <si>
    <t>수리완료</t>
    <phoneticPr fontId="3" type="noConversion"/>
  </si>
  <si>
    <t>Power Supply</t>
  </si>
  <si>
    <t>전원 불량</t>
    <phoneticPr fontId="3" type="noConversion"/>
  </si>
  <si>
    <t>정승겸</t>
    <phoneticPr fontId="3" type="noConversion"/>
  </si>
  <si>
    <t>121100384504</t>
    <phoneticPr fontId="3" type="noConversion"/>
  </si>
  <si>
    <t>황종수</t>
    <phoneticPr fontId="3" type="noConversion"/>
  </si>
  <si>
    <t>수리완료</t>
    <phoneticPr fontId="3" type="noConversion"/>
  </si>
  <si>
    <t>QA</t>
    <phoneticPr fontId="3" type="noConversion"/>
  </si>
  <si>
    <t>N/A</t>
    <phoneticPr fontId="3" type="noConversion"/>
  </si>
  <si>
    <t>system pc</t>
    <phoneticPr fontId="3" type="noConversion"/>
  </si>
  <si>
    <t>전원 안들어옴</t>
    <phoneticPr fontId="3" type="noConversion"/>
  </si>
  <si>
    <t>자체</t>
    <phoneticPr fontId="3" type="noConversion"/>
  </si>
  <si>
    <t>정기수</t>
    <phoneticPr fontId="3" type="noConversion"/>
  </si>
  <si>
    <t>한광식</t>
    <phoneticPr fontId="3" type="noConversion"/>
  </si>
  <si>
    <t>F</t>
    <phoneticPr fontId="3" type="noConversion"/>
  </si>
  <si>
    <t>ION값 불량</t>
    <phoneticPr fontId="3" type="noConversion"/>
  </si>
  <si>
    <t>f/c</t>
    <phoneticPr fontId="3" type="noConversion"/>
  </si>
  <si>
    <t>stepping Motor controller</t>
    <phoneticPr fontId="3" type="noConversion"/>
  </si>
  <si>
    <t>alram 발생</t>
    <phoneticPr fontId="3" type="noConversion"/>
  </si>
  <si>
    <t>김현만</t>
    <phoneticPr fontId="3" type="noConversion"/>
  </si>
  <si>
    <t>CAN B/D</t>
    <phoneticPr fontId="3" type="noConversion"/>
  </si>
  <si>
    <t>mold</t>
    <phoneticPr fontId="3" type="noConversion"/>
  </si>
  <si>
    <t>짜집기 board   1폐기</t>
    <phoneticPr fontId="3" type="noConversion"/>
  </si>
  <si>
    <t>나승훈</t>
    <phoneticPr fontId="3" type="noConversion"/>
  </si>
  <si>
    <t>폐기</t>
    <phoneticPr fontId="3" type="noConversion"/>
  </si>
  <si>
    <t>EE</t>
    <phoneticPr fontId="3" type="noConversion"/>
  </si>
  <si>
    <t>EE2</t>
    <phoneticPr fontId="3" type="noConversion"/>
  </si>
  <si>
    <t>MONITOR</t>
    <phoneticPr fontId="3" type="noConversion"/>
  </si>
  <si>
    <t>영상 출력 안됨</t>
    <phoneticPr fontId="3" type="noConversion"/>
  </si>
  <si>
    <t>자체</t>
    <phoneticPr fontId="3" type="noConversion"/>
  </si>
  <si>
    <t>정기수</t>
    <phoneticPr fontId="3" type="noConversion"/>
  </si>
  <si>
    <t>이광열</t>
    <phoneticPr fontId="3" type="noConversion"/>
  </si>
  <si>
    <t>배터리 차져</t>
    <phoneticPr fontId="3" type="noConversion"/>
  </si>
  <si>
    <t>충전 안됨 / 내부 TR 파손으로 교체(2SC4150 -&gt; 2SC3552</t>
    <phoneticPr fontId="3" type="noConversion"/>
  </si>
  <si>
    <t>강성렬</t>
    <phoneticPr fontId="3" type="noConversion"/>
  </si>
  <si>
    <t>5T3P</t>
  </si>
  <si>
    <t>동작불량</t>
    <phoneticPr fontId="3" type="noConversion"/>
  </si>
  <si>
    <t>소성환</t>
    <phoneticPr fontId="3" type="noConversion"/>
  </si>
  <si>
    <t>EE</t>
    <phoneticPr fontId="3" type="noConversion"/>
  </si>
  <si>
    <t>EE2</t>
    <phoneticPr fontId="3" type="noConversion"/>
  </si>
  <si>
    <t>Booting Fail</t>
    <phoneticPr fontId="3" type="noConversion"/>
  </si>
  <si>
    <t>허준영</t>
    <phoneticPr fontId="3" type="noConversion"/>
  </si>
  <si>
    <t>박지원</t>
    <phoneticPr fontId="3" type="noConversion"/>
  </si>
  <si>
    <t>EE1</t>
    <phoneticPr fontId="3" type="noConversion"/>
  </si>
  <si>
    <t>UP007/021A</t>
    <phoneticPr fontId="3" type="noConversion"/>
  </si>
  <si>
    <t>허준영</t>
    <phoneticPr fontId="3" type="noConversion"/>
  </si>
  <si>
    <t>이진곤</t>
    <phoneticPr fontId="3" type="noConversion"/>
  </si>
  <si>
    <t>OVEN</t>
    <phoneticPr fontId="3" type="noConversion"/>
  </si>
  <si>
    <t>화면 안나오고 깜박임 / 내부 전원부 모든 콘덴서 교체</t>
    <phoneticPr fontId="3" type="noConversion"/>
  </si>
  <si>
    <t>11061701728</t>
    <phoneticPr fontId="3" type="noConversion"/>
  </si>
  <si>
    <t>11062700888</t>
    <phoneticPr fontId="3" type="noConversion"/>
  </si>
  <si>
    <t>ionizer</t>
    <phoneticPr fontId="3" type="noConversion"/>
  </si>
  <si>
    <t>ioinzer</t>
    <phoneticPr fontId="3" type="noConversion"/>
  </si>
  <si>
    <t>170801504</t>
    <phoneticPr fontId="3" type="noConversion"/>
  </si>
  <si>
    <t>USB Error / 내부 전원부 모든 콘덴서 교체</t>
    <phoneticPr fontId="3" type="noConversion"/>
  </si>
  <si>
    <t>E-CIM Error / 내부 전원부 모든 콘덴서 교체</t>
    <phoneticPr fontId="3" type="noConversion"/>
  </si>
  <si>
    <t>11011201627</t>
    <phoneticPr fontId="3" type="noConversion"/>
  </si>
  <si>
    <t>11061701719</t>
    <phoneticPr fontId="3" type="noConversion"/>
  </si>
  <si>
    <t>이성문</t>
    <phoneticPr fontId="3" type="noConversion"/>
  </si>
  <si>
    <t>scan</t>
    <phoneticPr fontId="3" type="noConversion"/>
  </si>
  <si>
    <t>24v power supply</t>
    <phoneticPr fontId="3" type="noConversion"/>
  </si>
  <si>
    <t>170701298</t>
    <phoneticPr fontId="3" type="noConversion"/>
  </si>
  <si>
    <t>DISCO</t>
    <phoneticPr fontId="3" type="noConversion"/>
  </si>
  <si>
    <t>SMPS</t>
    <phoneticPr fontId="3" type="noConversion"/>
  </si>
  <si>
    <t>FET out로 교체 K1981 -&gt;2SK3531</t>
    <phoneticPr fontId="3" type="noConversion"/>
  </si>
  <si>
    <t>35W-021K15-0144-P339</t>
    <phoneticPr fontId="3" type="noConversion"/>
  </si>
  <si>
    <t>전명원</t>
    <phoneticPr fontId="3" type="noConversion"/>
  </si>
  <si>
    <t>EE</t>
    <phoneticPr fontId="3" type="noConversion"/>
  </si>
  <si>
    <t>EE1</t>
    <phoneticPr fontId="3" type="noConversion"/>
  </si>
  <si>
    <t>AGV</t>
    <phoneticPr fontId="3" type="noConversion"/>
  </si>
  <si>
    <t>AGV Motor Driver B/D</t>
    <phoneticPr fontId="3" type="noConversion"/>
  </si>
  <si>
    <t>출력 불안정</t>
    <phoneticPr fontId="3" type="noConversion"/>
  </si>
  <si>
    <t>허준영</t>
    <phoneticPr fontId="3" type="noConversion"/>
  </si>
  <si>
    <t>강성열</t>
    <phoneticPr fontId="3" type="noConversion"/>
  </si>
  <si>
    <t>LID/A</t>
    <phoneticPr fontId="3" type="noConversion"/>
  </si>
  <si>
    <t>160100065</t>
    <phoneticPr fontId="3" type="noConversion"/>
  </si>
  <si>
    <t>XSL-230-18</t>
    <phoneticPr fontId="3" type="noConversion"/>
  </si>
  <si>
    <t>이영석</t>
    <phoneticPr fontId="3" type="noConversion"/>
  </si>
  <si>
    <t>수리완료</t>
    <phoneticPr fontId="3" type="noConversion"/>
  </si>
  <si>
    <t>F</t>
    <phoneticPr fontId="3" type="noConversion"/>
  </si>
  <si>
    <t>5T1P</t>
    <phoneticPr fontId="3" type="noConversion"/>
  </si>
  <si>
    <t>자체</t>
    <phoneticPr fontId="3" type="noConversion"/>
  </si>
  <si>
    <t>정기수</t>
    <phoneticPr fontId="3" type="noConversion"/>
  </si>
  <si>
    <t>100800728</t>
    <phoneticPr fontId="3" type="noConversion"/>
  </si>
  <si>
    <t>김재영</t>
    <phoneticPr fontId="3" type="noConversion"/>
  </si>
  <si>
    <t>A</t>
    <phoneticPr fontId="3" type="noConversion"/>
  </si>
  <si>
    <t>1T4P</t>
    <phoneticPr fontId="3" type="noConversion"/>
  </si>
  <si>
    <t>monitor</t>
    <phoneticPr fontId="3" type="noConversion"/>
  </si>
  <si>
    <t>TOUCH MONITOR</t>
    <phoneticPr fontId="3" type="noConversion"/>
  </si>
  <si>
    <t xml:space="preserve">터치 불량 </t>
    <phoneticPr fontId="3" type="noConversion"/>
  </si>
  <si>
    <t>자체</t>
    <phoneticPr fontId="3" type="noConversion"/>
  </si>
  <si>
    <t>정기수</t>
    <phoneticPr fontId="3" type="noConversion"/>
  </si>
  <si>
    <t>L/ABL</t>
    <phoneticPr fontId="3" type="noConversion"/>
  </si>
  <si>
    <t>#52 error / 내부 콘덴서 및 HCPL-7840 교체</t>
    <phoneticPr fontId="3" type="noConversion"/>
  </si>
  <si>
    <t>ML-1011020002</t>
    <phoneticPr fontId="3" type="noConversion"/>
  </si>
  <si>
    <t>김환묵</t>
    <phoneticPr fontId="3" type="noConversion"/>
  </si>
  <si>
    <t>정기수</t>
    <phoneticPr fontId="3" type="noConversion"/>
  </si>
  <si>
    <t>SMPS</t>
    <phoneticPr fontId="3" type="noConversion"/>
  </si>
  <si>
    <t>PC Power supply</t>
    <phoneticPr fontId="3" type="noConversion"/>
  </si>
  <si>
    <t>전원 안나옴 / 모든 콘덴서 및 Zenr diode E4 6.2V (fan 구동 관련) 교체</t>
    <phoneticPr fontId="3" type="noConversion"/>
  </si>
  <si>
    <t>김정훈</t>
    <phoneticPr fontId="3" type="noConversion"/>
  </si>
  <si>
    <t>B</t>
    <phoneticPr fontId="3" type="noConversion"/>
  </si>
  <si>
    <t>2T3P</t>
    <phoneticPr fontId="3" type="noConversion"/>
  </si>
  <si>
    <t>IONIZER</t>
    <phoneticPr fontId="3" type="noConversion"/>
  </si>
  <si>
    <t>자체</t>
    <phoneticPr fontId="3" type="noConversion"/>
  </si>
  <si>
    <t>정기수</t>
    <phoneticPr fontId="3" type="noConversion"/>
  </si>
  <si>
    <t>H1301063238</t>
    <phoneticPr fontId="3" type="noConversion"/>
  </si>
  <si>
    <t>170701230</t>
    <phoneticPr fontId="3" type="noConversion"/>
  </si>
  <si>
    <t>정봉석</t>
    <phoneticPr fontId="3" type="noConversion"/>
  </si>
  <si>
    <t>물티슈 자판기</t>
    <phoneticPr fontId="3" type="noConversion"/>
  </si>
  <si>
    <t>회로 Modify</t>
    <phoneticPr fontId="3" type="noConversion"/>
  </si>
  <si>
    <t>임현</t>
    <phoneticPr fontId="3" type="noConversion"/>
  </si>
  <si>
    <t>ML-1012130014</t>
    <phoneticPr fontId="3" type="noConversion"/>
  </si>
  <si>
    <t>이민우</t>
    <phoneticPr fontId="3" type="noConversion"/>
  </si>
  <si>
    <t>제어부</t>
    <phoneticPr fontId="3" type="noConversion"/>
  </si>
  <si>
    <t>20049119</t>
    <phoneticPr fontId="3" type="noConversion"/>
  </si>
  <si>
    <t>손경원</t>
    <phoneticPr fontId="3" type="noConversion"/>
  </si>
  <si>
    <t>남병용</t>
    <phoneticPr fontId="3" type="noConversion"/>
  </si>
  <si>
    <t>AUTO FOUCE MOTOR FAIL</t>
    <phoneticPr fontId="3" type="noConversion"/>
  </si>
  <si>
    <t>임현</t>
    <phoneticPr fontId="3" type="noConversion"/>
  </si>
  <si>
    <t>SGD7S-2R8A00A002</t>
    <phoneticPr fontId="3" type="noConversion"/>
  </si>
  <si>
    <t xml:space="preserve">김종한 </t>
    <phoneticPr fontId="3" type="noConversion"/>
  </si>
  <si>
    <t>d/a</t>
    <phoneticPr fontId="3" type="noConversion"/>
  </si>
  <si>
    <t>indel servo line</t>
    <phoneticPr fontId="3" type="noConversion"/>
  </si>
  <si>
    <t>error led on</t>
    <phoneticPr fontId="3" type="noConversion"/>
  </si>
  <si>
    <t>D/A</t>
    <phoneticPr fontId="3" type="noConversion"/>
  </si>
  <si>
    <t xml:space="preserve">INDEL AG </t>
    <phoneticPr fontId="3" type="noConversion"/>
  </si>
  <si>
    <t>전원 안들어옴</t>
    <phoneticPr fontId="3" type="noConversion"/>
  </si>
  <si>
    <t>N/A</t>
    <phoneticPr fontId="3" type="noConversion"/>
  </si>
  <si>
    <t>2대의 장바에 릴레이 결선 후 경광등 알람 셋팅</t>
    <phoneticPr fontId="3" type="noConversion"/>
  </si>
  <si>
    <t>강영관</t>
    <phoneticPr fontId="3" type="noConversion"/>
  </si>
  <si>
    <t>장재혁</t>
    <phoneticPr fontId="3" type="noConversion"/>
  </si>
  <si>
    <t>수리완료</t>
    <phoneticPr fontId="3" type="noConversion"/>
  </si>
  <si>
    <t>C</t>
    <phoneticPr fontId="3" type="noConversion"/>
  </si>
  <si>
    <t>IONIZER</t>
    <phoneticPr fontId="3" type="noConversion"/>
  </si>
  <si>
    <t>알람 발생</t>
    <phoneticPr fontId="3" type="noConversion"/>
  </si>
  <si>
    <t>자체</t>
    <phoneticPr fontId="3" type="noConversion"/>
  </si>
  <si>
    <t>정기수</t>
    <phoneticPr fontId="3" type="noConversion"/>
  </si>
  <si>
    <t>171202022</t>
    <phoneticPr fontId="3" type="noConversion"/>
  </si>
  <si>
    <t>외주수리완료</t>
    <phoneticPr fontId="3" type="noConversion"/>
  </si>
  <si>
    <t>외주수리완료</t>
    <phoneticPr fontId="3" type="noConversion"/>
  </si>
  <si>
    <t>윤여삼</t>
    <phoneticPr fontId="3" type="noConversion"/>
  </si>
  <si>
    <t>Initial Fail</t>
    <phoneticPr fontId="3" type="noConversion"/>
  </si>
  <si>
    <t>허준영</t>
    <phoneticPr fontId="3" type="noConversion"/>
  </si>
  <si>
    <t>고진일</t>
    <phoneticPr fontId="3" type="noConversion"/>
  </si>
  <si>
    <t>EE</t>
    <phoneticPr fontId="3" type="noConversion"/>
  </si>
  <si>
    <t>EE1</t>
    <phoneticPr fontId="3" type="noConversion"/>
  </si>
  <si>
    <t>USB Keyboard</t>
    <phoneticPr fontId="3" type="noConversion"/>
  </si>
  <si>
    <t>USB Cable 단선</t>
    <phoneticPr fontId="3" type="noConversion"/>
  </si>
  <si>
    <t>허준영</t>
    <phoneticPr fontId="3" type="noConversion"/>
  </si>
  <si>
    <t>장재혁</t>
    <phoneticPr fontId="3" type="noConversion"/>
  </si>
  <si>
    <t>C</t>
    <phoneticPr fontId="3" type="noConversion"/>
  </si>
  <si>
    <t xml:space="preserve">IOIN값 불량 </t>
    <phoneticPr fontId="3" type="noConversion"/>
  </si>
  <si>
    <t>자체</t>
    <phoneticPr fontId="3" type="noConversion"/>
  </si>
  <si>
    <t>정기수</t>
    <phoneticPr fontId="3" type="noConversion"/>
  </si>
  <si>
    <t>INFO-SAC3</t>
    <phoneticPr fontId="3" type="noConversion"/>
  </si>
  <si>
    <t>장은철</t>
    <phoneticPr fontId="3" type="noConversion"/>
  </si>
  <si>
    <t>25103103</t>
    <phoneticPr fontId="3" type="noConversion"/>
  </si>
  <si>
    <t>100000604</t>
    <phoneticPr fontId="3" type="noConversion"/>
  </si>
  <si>
    <t>김종한</t>
    <phoneticPr fontId="3" type="noConversion"/>
  </si>
  <si>
    <t>101000914</t>
    <phoneticPr fontId="3" type="noConversion"/>
  </si>
  <si>
    <t>MOTOR CONTROL 안됨 /</t>
    <phoneticPr fontId="3" type="noConversion"/>
  </si>
  <si>
    <t>DISPLAY OUT fuse fet 구매중 (FB3207Z) 대체vsp 우선 지급</t>
    <phoneticPr fontId="3" type="noConversion"/>
  </si>
  <si>
    <t xml:space="preserve">reflow </t>
    <phoneticPr fontId="3" type="noConversion"/>
  </si>
  <si>
    <t xml:space="preserve">미쯔비시 인버터 </t>
    <phoneticPr fontId="3" type="noConversion"/>
  </si>
  <si>
    <t xml:space="preserve">configrator -3  인버터 진단 program set up </t>
    <phoneticPr fontId="3" type="noConversion"/>
  </si>
  <si>
    <t>강영구</t>
    <phoneticPr fontId="3" type="noConversion"/>
  </si>
  <si>
    <t>유성학</t>
    <phoneticPr fontId="3" type="noConversion"/>
  </si>
  <si>
    <t>2T2P</t>
    <phoneticPr fontId="3" type="noConversion"/>
  </si>
  <si>
    <t>김현만</t>
    <phoneticPr fontId="3" type="noConversion"/>
  </si>
  <si>
    <t>Compaq nx6320</t>
    <phoneticPr fontId="3" type="noConversion"/>
  </si>
  <si>
    <t>허준영</t>
    <phoneticPr fontId="3" type="noConversion"/>
  </si>
  <si>
    <t>박지원</t>
    <phoneticPr fontId="3" type="noConversion"/>
  </si>
  <si>
    <t>fan 교체</t>
    <phoneticPr fontId="3" type="noConversion"/>
  </si>
  <si>
    <t>정기수</t>
    <phoneticPr fontId="3" type="noConversion"/>
  </si>
  <si>
    <t>김현만</t>
    <phoneticPr fontId="3" type="noConversion"/>
  </si>
  <si>
    <t>수리완료</t>
    <phoneticPr fontId="3" type="noConversion"/>
  </si>
  <si>
    <t>F</t>
    <phoneticPr fontId="3" type="noConversion"/>
  </si>
  <si>
    <t>N/A</t>
    <phoneticPr fontId="3" type="noConversion"/>
  </si>
  <si>
    <t>NT-RV520-A16S</t>
    <phoneticPr fontId="3" type="noConversion"/>
  </si>
  <si>
    <t>자체</t>
    <phoneticPr fontId="3" type="noConversion"/>
  </si>
  <si>
    <t>정기수</t>
    <phoneticPr fontId="3" type="noConversion"/>
  </si>
  <si>
    <t>최경철</t>
    <phoneticPr fontId="3" type="noConversion"/>
  </si>
  <si>
    <t>TEST</t>
    <phoneticPr fontId="3" type="noConversion"/>
  </si>
  <si>
    <t>Channel B/D</t>
    <phoneticPr fontId="3" type="noConversion"/>
  </si>
  <si>
    <t>COMPMOTOR DRIVER</t>
    <phoneticPr fontId="3" type="noConversion"/>
  </si>
  <si>
    <t>강영관</t>
    <phoneticPr fontId="3" type="noConversion"/>
  </si>
  <si>
    <t>수리완료</t>
    <phoneticPr fontId="3" type="noConversion"/>
  </si>
  <si>
    <t>ionizer</t>
    <phoneticPr fontId="3" type="noConversion"/>
  </si>
  <si>
    <t>자체</t>
    <phoneticPr fontId="3" type="noConversion"/>
  </si>
  <si>
    <t>정기수</t>
    <phoneticPr fontId="3" type="noConversion"/>
  </si>
  <si>
    <t>64700608</t>
    <phoneticPr fontId="3" type="noConversion"/>
  </si>
  <si>
    <t xml:space="preserve">김진만 </t>
    <phoneticPr fontId="3" type="noConversion"/>
  </si>
  <si>
    <t>PMO</t>
    <phoneticPr fontId="3" type="noConversion"/>
  </si>
  <si>
    <t xml:space="preserve">POWER SUPPLY </t>
    <phoneticPr fontId="3" type="noConversion"/>
  </si>
  <si>
    <t>D/A</t>
    <phoneticPr fontId="3" type="noConversion"/>
  </si>
  <si>
    <t>TC-100</t>
    <phoneticPr fontId="3" type="noConversion"/>
  </si>
  <si>
    <t>황을수</t>
    <phoneticPr fontId="3" type="noConversion"/>
  </si>
  <si>
    <t>장유생</t>
    <phoneticPr fontId="3" type="noConversion"/>
  </si>
  <si>
    <t>EE</t>
    <phoneticPr fontId="3" type="noConversion"/>
  </si>
  <si>
    <t>EE2</t>
    <phoneticPr fontId="3" type="noConversion"/>
  </si>
  <si>
    <t>EFO BOX</t>
    <phoneticPr fontId="3" type="noConversion"/>
  </si>
  <si>
    <t>Spark 안튀김</t>
    <phoneticPr fontId="3" type="noConversion"/>
  </si>
  <si>
    <t>허준영</t>
    <phoneticPr fontId="3" type="noConversion"/>
  </si>
  <si>
    <t>박형길</t>
    <phoneticPr fontId="3" type="noConversion"/>
  </si>
  <si>
    <t>온습도계</t>
    <phoneticPr fontId="3" type="noConversion"/>
  </si>
  <si>
    <t>김경호</t>
    <phoneticPr fontId="3" type="noConversion"/>
  </si>
  <si>
    <t>download 안됨</t>
    <phoneticPr fontId="3" type="noConversion"/>
  </si>
  <si>
    <t>김교혁</t>
    <phoneticPr fontId="3" type="noConversion"/>
  </si>
  <si>
    <t>소독기</t>
    <phoneticPr fontId="3" type="noConversion"/>
  </si>
  <si>
    <t>소독기 충전장치(기)</t>
    <phoneticPr fontId="3" type="noConversion"/>
  </si>
  <si>
    <t>K 1909 REV A</t>
    <phoneticPr fontId="3" type="noConversion"/>
  </si>
  <si>
    <t xml:space="preserve"> temp control 안됨</t>
    <phoneticPr fontId="3" type="noConversion"/>
  </si>
  <si>
    <t>전원 OUT/</t>
    <phoneticPr fontId="3" type="noConversion"/>
  </si>
  <si>
    <t>REFLOWER</t>
    <phoneticPr fontId="3" type="noConversion"/>
  </si>
  <si>
    <t>HP 노트북 아답터</t>
    <phoneticPr fontId="3" type="noConversion"/>
  </si>
  <si>
    <t>내부 모든 콘덴서 교체</t>
    <phoneticPr fontId="3" type="noConversion"/>
  </si>
  <si>
    <t>WBGSV0AM1YZMD(</t>
    <phoneticPr fontId="3" type="noConversion"/>
  </si>
  <si>
    <t>최경철</t>
    <phoneticPr fontId="3" type="noConversion"/>
  </si>
  <si>
    <t>고진일</t>
    <phoneticPr fontId="3" type="noConversion"/>
  </si>
  <si>
    <t>EE</t>
    <phoneticPr fontId="3" type="noConversion"/>
  </si>
  <si>
    <t>EE1</t>
    <phoneticPr fontId="3" type="noConversion"/>
  </si>
  <si>
    <t>System PC</t>
    <phoneticPr fontId="3" type="noConversion"/>
  </si>
  <si>
    <t>허준영</t>
    <phoneticPr fontId="3" type="noConversion"/>
  </si>
  <si>
    <t>Heater Controller</t>
    <phoneticPr fontId="3" type="noConversion"/>
  </si>
  <si>
    <t>Booting Fail, 전면 Power Switch 단선</t>
    <phoneticPr fontId="3" type="noConversion"/>
  </si>
  <si>
    <t>전원부 수리 되였으나 충전 제어장치 칩이 이상 동작 릴레이 빼고 쇼트 시켜 작동</t>
    <phoneticPr fontId="3" type="noConversion"/>
  </si>
  <si>
    <t>이규한</t>
    <phoneticPr fontId="3" type="noConversion"/>
  </si>
  <si>
    <t>G</t>
    <phoneticPr fontId="3" type="noConversion"/>
  </si>
  <si>
    <t>Bump1</t>
    <phoneticPr fontId="3" type="noConversion"/>
  </si>
  <si>
    <t>Sputter</t>
    <phoneticPr fontId="3" type="noConversion"/>
  </si>
  <si>
    <t>Wafer Transfer</t>
    <phoneticPr fontId="3" type="noConversion"/>
  </si>
  <si>
    <t>파손된 전원 커넥터 교체 및 회로 결선</t>
    <phoneticPr fontId="3" type="noConversion"/>
  </si>
  <si>
    <t>허수웅</t>
    <phoneticPr fontId="3" type="noConversion"/>
  </si>
  <si>
    <t>폐기</t>
    <phoneticPr fontId="3" type="noConversion"/>
  </si>
  <si>
    <t>F</t>
    <phoneticPr fontId="3" type="noConversion"/>
  </si>
  <si>
    <t>5T1P</t>
    <phoneticPr fontId="3" type="noConversion"/>
  </si>
  <si>
    <t>MONITOR</t>
    <phoneticPr fontId="3" type="noConversion"/>
  </si>
  <si>
    <t>통신 불량</t>
    <phoneticPr fontId="3" type="noConversion"/>
  </si>
  <si>
    <t>자체</t>
    <phoneticPr fontId="3" type="noConversion"/>
  </si>
  <si>
    <t>정기수</t>
    <phoneticPr fontId="3" type="noConversion"/>
  </si>
  <si>
    <t>이정렬</t>
    <phoneticPr fontId="3" type="noConversion"/>
  </si>
  <si>
    <t>P</t>
    <phoneticPr fontId="3" type="noConversion"/>
  </si>
  <si>
    <t>1T1P</t>
    <phoneticPr fontId="3" type="noConversion"/>
  </si>
  <si>
    <t>N/A</t>
    <phoneticPr fontId="3" type="noConversion"/>
  </si>
  <si>
    <t>SYSTEM PC</t>
    <phoneticPr fontId="3" type="noConversion"/>
  </si>
  <si>
    <t>POWER 안켜짐</t>
    <phoneticPr fontId="3" type="noConversion"/>
  </si>
  <si>
    <t>외주</t>
    <phoneticPr fontId="3" type="noConversion"/>
  </si>
  <si>
    <t>장은철</t>
    <phoneticPr fontId="3" type="noConversion"/>
  </si>
  <si>
    <t>6CR6121311</t>
    <phoneticPr fontId="3" type="noConversion"/>
  </si>
  <si>
    <t>강영관</t>
    <phoneticPr fontId="3" type="noConversion"/>
  </si>
  <si>
    <t>김태규</t>
    <phoneticPr fontId="3" type="noConversion"/>
  </si>
  <si>
    <t>셔틀장비</t>
    <phoneticPr fontId="3" type="noConversion"/>
  </si>
  <si>
    <t>proface monitor</t>
    <phoneticPr fontId="3" type="noConversion"/>
  </si>
  <si>
    <t>유완수</t>
    <phoneticPr fontId="3" type="noConversion"/>
  </si>
  <si>
    <t>박동진</t>
    <phoneticPr fontId="3" type="noConversion"/>
  </si>
  <si>
    <t>손천구</t>
    <phoneticPr fontId="3" type="noConversion"/>
  </si>
  <si>
    <t>C</t>
    <phoneticPr fontId="3" type="noConversion"/>
  </si>
  <si>
    <t>2T1P</t>
    <phoneticPr fontId="3" type="noConversion"/>
  </si>
  <si>
    <t>Other</t>
    <phoneticPr fontId="3" type="noConversion"/>
  </si>
  <si>
    <t>허준영</t>
    <phoneticPr fontId="3" type="noConversion"/>
  </si>
  <si>
    <t>EE</t>
    <phoneticPr fontId="3" type="noConversion"/>
  </si>
  <si>
    <t>EE1</t>
    <phoneticPr fontId="3" type="noConversion"/>
  </si>
  <si>
    <t>전자실</t>
    <phoneticPr fontId="3" type="noConversion"/>
  </si>
  <si>
    <t>ALL-100</t>
    <phoneticPr fontId="3" type="noConversion"/>
  </si>
  <si>
    <t>외주</t>
    <phoneticPr fontId="3" type="noConversion"/>
  </si>
  <si>
    <t>기타</t>
    <phoneticPr fontId="3" type="noConversion"/>
  </si>
  <si>
    <t>장은철</t>
    <phoneticPr fontId="3" type="noConversion"/>
  </si>
  <si>
    <t>후문 및 복지동</t>
    <phoneticPr fontId="3" type="noConversion"/>
  </si>
  <si>
    <t>스피드 게이트 점검</t>
    <phoneticPr fontId="3" type="noConversion"/>
  </si>
  <si>
    <t>음성안내시스템</t>
    <phoneticPr fontId="3" type="noConversion"/>
  </si>
  <si>
    <t>C-1 음성안내 키트 제작</t>
    <phoneticPr fontId="3" type="noConversion"/>
  </si>
  <si>
    <t>제작 완료</t>
    <phoneticPr fontId="3" type="noConversion"/>
  </si>
  <si>
    <t>정기수</t>
    <phoneticPr fontId="3" type="noConversion"/>
  </si>
  <si>
    <t>신덕우</t>
    <phoneticPr fontId="3" type="noConversion"/>
  </si>
  <si>
    <t>안세왕</t>
    <phoneticPr fontId="3" type="noConversion"/>
  </si>
  <si>
    <t>on-loader</t>
    <phoneticPr fontId="3" type="noConversion"/>
  </si>
  <si>
    <t>power supply</t>
    <phoneticPr fontId="3" type="noConversion"/>
  </si>
  <si>
    <t>동작안됨</t>
    <phoneticPr fontId="3" type="noConversion"/>
  </si>
  <si>
    <t>한광식</t>
    <phoneticPr fontId="3" type="noConversion"/>
  </si>
  <si>
    <t>power supply</t>
    <phoneticPr fontId="3" type="noConversion"/>
  </si>
  <si>
    <t>출력안됨</t>
    <phoneticPr fontId="3" type="noConversion"/>
  </si>
  <si>
    <t>손천구</t>
    <phoneticPr fontId="3" type="noConversion"/>
  </si>
  <si>
    <t>수리완료</t>
    <phoneticPr fontId="3" type="noConversion"/>
  </si>
  <si>
    <t>B</t>
    <phoneticPr fontId="3" type="noConversion"/>
  </si>
  <si>
    <t>2T1P</t>
    <phoneticPr fontId="3" type="noConversion"/>
  </si>
  <si>
    <t>SMT</t>
    <phoneticPr fontId="3" type="noConversion"/>
  </si>
  <si>
    <t>N/A</t>
    <phoneticPr fontId="3" type="noConversion"/>
  </si>
  <si>
    <t>SMT 탈의실 스피커 설치</t>
    <phoneticPr fontId="3" type="noConversion"/>
  </si>
  <si>
    <t>자체</t>
    <phoneticPr fontId="3" type="noConversion"/>
  </si>
  <si>
    <t>정기수</t>
    <phoneticPr fontId="3" type="noConversion"/>
  </si>
  <si>
    <t>허준영</t>
    <phoneticPr fontId="3" type="noConversion"/>
  </si>
  <si>
    <t>장은철</t>
    <phoneticPr fontId="3" type="noConversion"/>
  </si>
  <si>
    <t>박동진</t>
    <phoneticPr fontId="3" type="noConversion"/>
  </si>
  <si>
    <t>N.A</t>
    <phoneticPr fontId="3" type="noConversion"/>
  </si>
  <si>
    <t>후문 스피드 게이트 점검</t>
    <phoneticPr fontId="3" type="noConversion"/>
  </si>
  <si>
    <t>정기수</t>
    <phoneticPr fontId="3" type="noConversion"/>
  </si>
  <si>
    <t>이동규</t>
    <phoneticPr fontId="3" type="noConversion"/>
  </si>
  <si>
    <t>fan error</t>
    <phoneticPr fontId="3" type="noConversion"/>
  </si>
  <si>
    <t>이영석</t>
    <phoneticPr fontId="3" type="noConversion"/>
  </si>
  <si>
    <t>f/c</t>
    <phoneticPr fontId="3" type="noConversion"/>
  </si>
  <si>
    <t xml:space="preserve"> pc drop boot fail  power supply 교환</t>
    <phoneticPr fontId="3" type="noConversion"/>
  </si>
  <si>
    <t>장비  pc</t>
    <phoneticPr fontId="3" type="noConversion"/>
  </si>
  <si>
    <t>POWER SUPPLY</t>
    <phoneticPr fontId="3" type="noConversion"/>
  </si>
  <si>
    <t>POWER OUT</t>
    <phoneticPr fontId="3" type="noConversion"/>
  </si>
  <si>
    <t>후문 스피드 게이트 수리완료</t>
    <phoneticPr fontId="3" type="noConversion"/>
  </si>
  <si>
    <t>index interface b/d</t>
    <phoneticPr fontId="3" type="noConversion"/>
  </si>
  <si>
    <t>수리완료</t>
    <phoneticPr fontId="3" type="noConversion"/>
  </si>
  <si>
    <t>N/A</t>
    <phoneticPr fontId="3" type="noConversion"/>
  </si>
  <si>
    <t>폭우로 인한 IT팀 물건 이동 지원</t>
    <phoneticPr fontId="3" type="noConversion"/>
  </si>
  <si>
    <t>자체</t>
    <phoneticPr fontId="3" type="noConversion"/>
  </si>
  <si>
    <t>정기수</t>
    <phoneticPr fontId="3" type="noConversion"/>
  </si>
  <si>
    <t>박수호</t>
    <phoneticPr fontId="3" type="noConversion"/>
  </si>
  <si>
    <t>P</t>
    <phoneticPr fontId="3" type="noConversion"/>
  </si>
  <si>
    <t>1T1P</t>
    <phoneticPr fontId="3" type="noConversion"/>
  </si>
  <si>
    <t>충전 안됨 어뎁터 교체</t>
    <phoneticPr fontId="3" type="noConversion"/>
  </si>
  <si>
    <t>LED LIGHT</t>
    <phoneticPr fontId="3" type="noConversion"/>
  </si>
  <si>
    <t>인사총무</t>
    <phoneticPr fontId="3" type="noConversion"/>
  </si>
  <si>
    <t>Other</t>
    <phoneticPr fontId="3" type="noConversion"/>
  </si>
  <si>
    <t>N/A</t>
    <phoneticPr fontId="3" type="noConversion"/>
  </si>
  <si>
    <t>침수지역운반작업</t>
    <phoneticPr fontId="3" type="noConversion"/>
  </si>
  <si>
    <t>허준영</t>
    <phoneticPr fontId="3" type="noConversion"/>
  </si>
  <si>
    <t>이더넷 컨트롤러</t>
    <phoneticPr fontId="3" type="noConversion"/>
  </si>
  <si>
    <t>전원 이상</t>
    <phoneticPr fontId="3" type="noConversion"/>
  </si>
  <si>
    <t>보안실</t>
    <phoneticPr fontId="3" type="noConversion"/>
  </si>
  <si>
    <t>전태진</t>
    <phoneticPr fontId="3" type="noConversion"/>
  </si>
  <si>
    <t>S/B/A</t>
    <phoneticPr fontId="3" type="noConversion"/>
  </si>
  <si>
    <t>TEMP MODUL B/D</t>
    <phoneticPr fontId="3" type="noConversion"/>
  </si>
  <si>
    <t>특정 채널 ERROR</t>
    <phoneticPr fontId="3" type="noConversion"/>
  </si>
  <si>
    <t>김진만</t>
    <phoneticPr fontId="3" type="noConversion"/>
  </si>
  <si>
    <t>SENSER IF BD</t>
    <phoneticPr fontId="3" type="noConversion"/>
  </si>
  <si>
    <t>power out  5A F</t>
    <phoneticPr fontId="3" type="noConversion"/>
  </si>
  <si>
    <t xml:space="preserve">MATROX </t>
    <phoneticPr fontId="3" type="noConversion"/>
  </si>
  <si>
    <t>남병용</t>
    <phoneticPr fontId="3" type="noConversion"/>
  </si>
  <si>
    <t>박병대</t>
    <phoneticPr fontId="3" type="noConversion"/>
  </si>
  <si>
    <t>QUINT DC UPS</t>
    <phoneticPr fontId="3" type="noConversion"/>
  </si>
  <si>
    <t xml:space="preserve">OUT  BATTERY 교환 </t>
    <phoneticPr fontId="3" type="noConversion"/>
  </si>
  <si>
    <t>BOOT  멈춤  HDD  CHANGE</t>
    <phoneticPr fontId="3" type="noConversion"/>
  </si>
  <si>
    <t>SMPS</t>
    <phoneticPr fontId="3" type="noConversion"/>
  </si>
  <si>
    <t>전원 출력 안됨 / 모든 콘덴서 교체</t>
    <phoneticPr fontId="3" type="noConversion"/>
  </si>
  <si>
    <t>00473100</t>
    <phoneticPr fontId="3" type="noConversion"/>
  </si>
  <si>
    <t>정기수</t>
    <phoneticPr fontId="3" type="noConversion"/>
  </si>
  <si>
    <t>mold</t>
    <phoneticPr fontId="3" type="noConversion"/>
  </si>
  <si>
    <t>heater controler b/d</t>
    <phoneticPr fontId="3" type="noConversion"/>
  </si>
  <si>
    <t>장유생</t>
    <phoneticPr fontId="3" type="noConversion"/>
  </si>
  <si>
    <t>신명호</t>
    <phoneticPr fontId="3" type="noConversion"/>
  </si>
  <si>
    <t>EE</t>
    <phoneticPr fontId="3" type="noConversion"/>
  </si>
  <si>
    <t>EE2</t>
    <phoneticPr fontId="3" type="noConversion"/>
  </si>
  <si>
    <t>BX75SW</t>
    <phoneticPr fontId="3" type="noConversion"/>
  </si>
  <si>
    <t>허준영</t>
    <phoneticPr fontId="3" type="noConversion"/>
  </si>
  <si>
    <t>Spool Motor Error</t>
    <phoneticPr fontId="3" type="noConversion"/>
  </si>
  <si>
    <t>Bits AGC</t>
    <phoneticPr fontId="3" type="noConversion"/>
  </si>
  <si>
    <t>박동진</t>
    <phoneticPr fontId="3" type="noConversion"/>
  </si>
  <si>
    <t>Other</t>
    <phoneticPr fontId="3" type="noConversion"/>
  </si>
  <si>
    <t>보안실</t>
    <phoneticPr fontId="3" type="noConversion"/>
  </si>
  <si>
    <t>이더넷 컨트롤러 설치 및 점검</t>
    <phoneticPr fontId="3" type="noConversion"/>
  </si>
  <si>
    <t>장은철</t>
    <phoneticPr fontId="3" type="noConversion"/>
  </si>
  <si>
    <t>정기수</t>
    <phoneticPr fontId="3" type="noConversion"/>
  </si>
  <si>
    <t>6K2</t>
    <phoneticPr fontId="3" type="noConversion"/>
  </si>
  <si>
    <t>통신불량</t>
    <phoneticPr fontId="3" type="noConversion"/>
  </si>
  <si>
    <t>정영준</t>
    <phoneticPr fontId="3" type="noConversion"/>
  </si>
  <si>
    <t>수리완료</t>
    <phoneticPr fontId="3" type="noConversion"/>
  </si>
  <si>
    <t>G</t>
    <phoneticPr fontId="3" type="noConversion"/>
  </si>
  <si>
    <t>IONIZER</t>
    <phoneticPr fontId="3" type="noConversion"/>
  </si>
  <si>
    <t>알람</t>
    <phoneticPr fontId="3" type="noConversion"/>
  </si>
  <si>
    <t>자체</t>
    <phoneticPr fontId="3" type="noConversion"/>
  </si>
  <si>
    <t>정기수</t>
    <phoneticPr fontId="3" type="noConversion"/>
  </si>
  <si>
    <t>이상준</t>
    <phoneticPr fontId="3" type="noConversion"/>
  </si>
  <si>
    <t>K5</t>
    <phoneticPr fontId="3" type="noConversion"/>
  </si>
  <si>
    <t>MONITOR</t>
    <phoneticPr fontId="3" type="noConversion"/>
  </si>
  <si>
    <t>전원 안나옴</t>
    <phoneticPr fontId="3" type="noConversion"/>
  </si>
  <si>
    <t>최경철</t>
    <phoneticPr fontId="3" type="noConversion"/>
  </si>
  <si>
    <t>EE</t>
    <phoneticPr fontId="3" type="noConversion"/>
  </si>
  <si>
    <t>EE1</t>
    <phoneticPr fontId="3" type="noConversion"/>
  </si>
  <si>
    <t>TEST</t>
    <phoneticPr fontId="3" type="noConversion"/>
  </si>
  <si>
    <t>E7945-66401</t>
    <phoneticPr fontId="3" type="noConversion"/>
  </si>
  <si>
    <t>017661</t>
    <phoneticPr fontId="3" type="noConversion"/>
  </si>
  <si>
    <t>장은철</t>
    <phoneticPr fontId="3" type="noConversion"/>
  </si>
  <si>
    <t>이정렬</t>
    <phoneticPr fontId="3" type="noConversion"/>
  </si>
  <si>
    <t>fan 불량</t>
    <phoneticPr fontId="3" type="noConversion"/>
  </si>
  <si>
    <t>RF GENERATOR</t>
    <phoneticPr fontId="3" type="noConversion"/>
  </si>
  <si>
    <t>RF POWER  값 안올라감</t>
    <phoneticPr fontId="3" type="noConversion"/>
  </si>
  <si>
    <t>이갑주</t>
    <phoneticPr fontId="3" type="noConversion"/>
  </si>
  <si>
    <t>공구</t>
    <phoneticPr fontId="3" type="noConversion"/>
  </si>
  <si>
    <t>제어보드</t>
    <phoneticPr fontId="3" type="noConversion"/>
  </si>
  <si>
    <t>회전 안함 / 전환 SW 및 퓨슈 스위치 교체</t>
    <phoneticPr fontId="3" type="noConversion"/>
  </si>
  <si>
    <t>정기수</t>
    <phoneticPr fontId="3" type="noConversion"/>
  </si>
  <si>
    <t xml:space="preserve">메인보드 </t>
    <phoneticPr fontId="3" type="noConversion"/>
  </si>
  <si>
    <t>전원 안나옴 / 모듬 콘덴서 교체 및 PWM chip FET 다수 fuse 교체</t>
    <phoneticPr fontId="3" type="noConversion"/>
  </si>
  <si>
    <t>00494744</t>
    <phoneticPr fontId="3" type="noConversion"/>
  </si>
  <si>
    <t>신명호</t>
    <phoneticPr fontId="3" type="noConversion"/>
  </si>
  <si>
    <t>TCNCP</t>
    <phoneticPr fontId="3" type="noConversion"/>
  </si>
  <si>
    <t>동작불량</t>
    <phoneticPr fontId="3" type="noConversion"/>
  </si>
  <si>
    <t>POWER SUPPLY ASSY</t>
    <phoneticPr fontId="3" type="noConversion"/>
  </si>
  <si>
    <t>황을수</t>
    <phoneticPr fontId="3" type="noConversion"/>
  </si>
  <si>
    <t>00473090</t>
    <phoneticPr fontId="3" type="noConversion"/>
  </si>
  <si>
    <t>전태진</t>
    <phoneticPr fontId="3" type="noConversion"/>
  </si>
  <si>
    <t>PM</t>
    <phoneticPr fontId="3" type="noConversion"/>
  </si>
  <si>
    <t>Memo pad</t>
    <phoneticPr fontId="3" type="noConversion"/>
  </si>
  <si>
    <t>작동 안함 메모 안지워짐 / 분해 전환 스위치 파손으로 제거</t>
    <phoneticPr fontId="3" type="noConversion"/>
  </si>
  <si>
    <t>7351506</t>
    <phoneticPr fontId="3" type="noConversion"/>
  </si>
  <si>
    <t>센서 점검</t>
    <phoneticPr fontId="3" type="noConversion"/>
  </si>
  <si>
    <t>EE1T</t>
    <phoneticPr fontId="3" type="noConversion"/>
  </si>
  <si>
    <t>HP Elitebook 840 G6</t>
    <phoneticPr fontId="3" type="noConversion"/>
  </si>
  <si>
    <t>스미스테크</t>
    <phoneticPr fontId="3" type="noConversion"/>
  </si>
  <si>
    <t>VSF220-24</t>
    <phoneticPr fontId="3" type="noConversion"/>
  </si>
  <si>
    <t>한광식</t>
    <phoneticPr fontId="3" type="noConversion"/>
  </si>
  <si>
    <t>power supply</t>
    <phoneticPr fontId="3" type="noConversion"/>
  </si>
  <si>
    <t>동작불량</t>
    <phoneticPr fontId="3" type="noConversion"/>
  </si>
  <si>
    <t>Strobo</t>
    <phoneticPr fontId="3" type="noConversion"/>
  </si>
  <si>
    <t>정기수</t>
    <phoneticPr fontId="3" type="noConversion"/>
  </si>
  <si>
    <t>160600890</t>
    <phoneticPr fontId="3" type="noConversion"/>
  </si>
  <si>
    <t>F/C</t>
    <phoneticPr fontId="3" type="noConversion"/>
  </si>
  <si>
    <t>vexta driver</t>
    <phoneticPr fontId="3" type="noConversion"/>
  </si>
  <si>
    <t xml:space="preserve">MOTOR 구동 불량 </t>
    <phoneticPr fontId="3" type="noConversion"/>
  </si>
  <si>
    <t>3ch 동작 안함 / Power board 수리</t>
    <phoneticPr fontId="3" type="noConversion"/>
  </si>
  <si>
    <t>140601637</t>
    <phoneticPr fontId="3" type="noConversion"/>
  </si>
  <si>
    <t>계근대 점검 후 파트구매중</t>
    <phoneticPr fontId="3" type="noConversion"/>
  </si>
  <si>
    <t>C0114072200699</t>
    <phoneticPr fontId="3" type="noConversion"/>
  </si>
  <si>
    <t>이상작동 / fan out로 교체</t>
    <phoneticPr fontId="3" type="noConversion"/>
  </si>
  <si>
    <t>FBFGK37965</t>
    <phoneticPr fontId="3" type="noConversion"/>
  </si>
  <si>
    <t>김현만</t>
    <phoneticPr fontId="3" type="noConversion"/>
  </si>
  <si>
    <t>F/C</t>
    <phoneticPr fontId="3" type="noConversion"/>
  </si>
  <si>
    <t>TOUCH MONITOR</t>
    <phoneticPr fontId="3" type="noConversion"/>
  </si>
  <si>
    <t>전원불량</t>
    <phoneticPr fontId="3" type="noConversion"/>
  </si>
  <si>
    <t>전태진</t>
    <phoneticPr fontId="3" type="noConversion"/>
  </si>
  <si>
    <t>ASM</t>
    <phoneticPr fontId="3" type="noConversion"/>
  </si>
  <si>
    <t>Desk PC</t>
  </si>
  <si>
    <t>C/M #51</t>
    <phoneticPr fontId="3" type="noConversion"/>
  </si>
  <si>
    <t>김현만</t>
    <phoneticPr fontId="3" type="noConversion"/>
  </si>
  <si>
    <t>REX-C100</t>
    <phoneticPr fontId="3" type="noConversion"/>
  </si>
  <si>
    <t>TEMP CONTROLLER</t>
    <phoneticPr fontId="3" type="noConversion"/>
  </si>
  <si>
    <t>복지동 스피드게이트</t>
    <phoneticPr fontId="3" type="noConversion"/>
  </si>
  <si>
    <t>MDA200</t>
    <phoneticPr fontId="3" type="noConversion"/>
  </si>
  <si>
    <t>Fuse 교체</t>
    <phoneticPr fontId="3" type="noConversion"/>
  </si>
  <si>
    <t>P Line Mold</t>
    <phoneticPr fontId="3" type="noConversion"/>
  </si>
  <si>
    <t>EMC KIT PC</t>
    <phoneticPr fontId="3" type="noConversion"/>
  </si>
  <si>
    <t xml:space="preserve">NTP10NF </t>
    <phoneticPr fontId="3" type="noConversion"/>
  </si>
  <si>
    <t>PC type Monitor Newt다</t>
    <phoneticPr fontId="3" type="noConversion"/>
  </si>
  <si>
    <t>화면 안나옴 / 패널 백라이트 out로 교체</t>
    <phoneticPr fontId="3" type="noConversion"/>
  </si>
  <si>
    <t>NTS14-1264</t>
    <phoneticPr fontId="3" type="noConversion"/>
  </si>
  <si>
    <t>084502</t>
    <phoneticPr fontId="3" type="noConversion"/>
  </si>
  <si>
    <t>화면 어두움 / 콘트라스트 조정 MAX</t>
    <phoneticPr fontId="3" type="noConversion"/>
  </si>
  <si>
    <t>CM-405A</t>
    <phoneticPr fontId="3" type="noConversion"/>
  </si>
  <si>
    <t>PL-14</t>
    <phoneticPr fontId="3" type="noConversion"/>
  </si>
  <si>
    <t>VI Monitor</t>
    <phoneticPr fontId="3" type="noConversion"/>
  </si>
  <si>
    <t>17인지 모니터</t>
    <phoneticPr fontId="3" type="noConversion"/>
  </si>
  <si>
    <t>화면 안나옴 / 백라이트 상측 out로 패널 교체</t>
    <phoneticPr fontId="3" type="noConversion"/>
  </si>
  <si>
    <t>ASM</t>
  </si>
  <si>
    <t>ASM #51</t>
    <phoneticPr fontId="3" type="noConversion"/>
  </si>
  <si>
    <t>SIMATIC IPC827C</t>
    <phoneticPr fontId="3" type="noConversion"/>
  </si>
  <si>
    <t>스피드 게이트 점검 및 설치</t>
    <phoneticPr fontId="3" type="noConversion"/>
  </si>
  <si>
    <t>DBPB-2010</t>
  </si>
  <si>
    <t>HP</t>
  </si>
  <si>
    <t>System PC</t>
  </si>
  <si>
    <t>CM-780</t>
  </si>
  <si>
    <t>EDA3+</t>
  </si>
  <si>
    <t>n/a</t>
  </si>
  <si>
    <t>XGK-CPUS</t>
  </si>
  <si>
    <t>XGL-CH2A</t>
  </si>
  <si>
    <t>EMIT</t>
  </si>
  <si>
    <t>Semisys</t>
  </si>
  <si>
    <t>LCD 모니터</t>
  </si>
  <si>
    <t>SH-185W</t>
  </si>
  <si>
    <t>ushio</t>
  </si>
  <si>
    <t>VLPSV-02 TD</t>
  </si>
  <si>
    <t>MR-J2S-20A</t>
  </si>
  <si>
    <t>MR-J2S-40B-EE085</t>
  </si>
  <si>
    <t>DSLSA</t>
  </si>
  <si>
    <t>Touch Monitor(modify)</t>
  </si>
  <si>
    <t>UPS</t>
  </si>
  <si>
    <t>ASD12C-C</t>
  </si>
  <si>
    <t>SGDV-1R6A01B</t>
  </si>
  <si>
    <t>NTP10NF</t>
  </si>
  <si>
    <t>복지동 Speed Gate</t>
  </si>
  <si>
    <t>mr-j3-10b</t>
  </si>
  <si>
    <t>k&amp;s iconn</t>
  </si>
  <si>
    <t xml:space="preserve">ETEL </t>
  </si>
  <si>
    <t>KEY LOADER</t>
  </si>
  <si>
    <t>mr-j2s-20a</t>
  </si>
  <si>
    <t>IPI-362B</t>
  </si>
  <si>
    <t>A21SB-08UY04</t>
  </si>
  <si>
    <t>mr-j2s-10a</t>
  </si>
  <si>
    <t>QUANTUM</t>
  </si>
  <si>
    <t>hanmi</t>
  </si>
  <si>
    <t>IPI220</t>
  </si>
  <si>
    <t>k&amp;s iconn -LA</t>
  </si>
  <si>
    <t>TORAY</t>
  </si>
  <si>
    <t>XBC-DN20SU</t>
  </si>
  <si>
    <t>ipi-332</t>
  </si>
  <si>
    <t>Panasonic</t>
  </si>
  <si>
    <t>K&amp;S Ultra</t>
  </si>
  <si>
    <t>k&amp;s ultra</t>
  </si>
  <si>
    <t>2D MAP</t>
  </si>
  <si>
    <t>Touch Monitor</t>
  </si>
  <si>
    <t>GHG630DCE</t>
  </si>
  <si>
    <t>APC</t>
  </si>
  <si>
    <t>K&amp;s iconn</t>
  </si>
  <si>
    <t>MHAA-100W</t>
  </si>
  <si>
    <t>K&amp;S Iconn</t>
  </si>
  <si>
    <t>CM602</t>
  </si>
  <si>
    <t>24VDC Power Supply</t>
  </si>
  <si>
    <t>DATAPAQ</t>
  </si>
  <si>
    <t>JMT</t>
  </si>
  <si>
    <t>SARTORIUS</t>
  </si>
  <si>
    <t>KNS</t>
  </si>
  <si>
    <t>BAUMER</t>
  </si>
  <si>
    <t>D3
TECHNOLOGY</t>
  </si>
  <si>
    <t>ABB</t>
  </si>
  <si>
    <t>ESEC</t>
  </si>
  <si>
    <t>DISCO</t>
  </si>
  <si>
    <t>Clip Force Indicator</t>
  </si>
  <si>
    <t>K&amp;S Iconn Plus</t>
  </si>
  <si>
    <t>k&amp;S ICONN</t>
  </si>
  <si>
    <t>dfd-6362</t>
  </si>
  <si>
    <t>QVC-30</t>
  </si>
  <si>
    <t>AJINEXTEK</t>
  </si>
  <si>
    <t>110V</t>
  </si>
  <si>
    <t>mhaa-100w</t>
  </si>
  <si>
    <t>MR-J3-70A</t>
  </si>
  <si>
    <t>mr-j3s-10a</t>
  </si>
  <si>
    <t>K&amp;S Iconn LA</t>
  </si>
  <si>
    <t>Over TempMouule</t>
  </si>
  <si>
    <t>sgdv 1r90a1a</t>
  </si>
  <si>
    <t>PA1015-053HKB</t>
  </si>
  <si>
    <t>프린트해드</t>
  </si>
  <si>
    <t>pc</t>
  </si>
  <si>
    <t>vsf220-24</t>
  </si>
  <si>
    <t>COMIZOA</t>
  </si>
  <si>
    <t>MR-J2S-40A</t>
  </si>
  <si>
    <t>IPI-332</t>
  </si>
  <si>
    <t>IXO 3.6V</t>
  </si>
  <si>
    <t>MLP-1230</t>
  </si>
  <si>
    <t>UT3-15BX1RD-C</t>
  </si>
  <si>
    <t>DELL</t>
  </si>
  <si>
    <t>PG3000RM</t>
  </si>
  <si>
    <t>HSD180</t>
  </si>
  <si>
    <t>TM150-TSTH03</t>
  </si>
  <si>
    <t>vsf 220-24 9.5a</t>
  </si>
  <si>
    <t>VSP-88A-PRO</t>
  </si>
  <si>
    <t>ET1715L-8CAB-1-GY-G</t>
  </si>
  <si>
    <t>E1715L-7CWB-1-GY-g</t>
  </si>
  <si>
    <t>TOPCLASS</t>
  </si>
  <si>
    <t>barcode</t>
  </si>
  <si>
    <t>mr-j2s-40a</t>
  </si>
  <si>
    <t>gm6-pafa</t>
  </si>
  <si>
    <t>Waher Saw</t>
  </si>
  <si>
    <t>ECP300TST</t>
  </si>
  <si>
    <t xml:space="preserve">PICKIT3 </t>
  </si>
  <si>
    <t>HDM-150TS</t>
  </si>
  <si>
    <t>power SUPPLY</t>
  </si>
  <si>
    <t xml:space="preserve">CSDL </t>
  </si>
  <si>
    <t>ProBook 4515</t>
  </si>
  <si>
    <t>S7R15GB-S24</t>
  </si>
  <si>
    <t>LEA50F-24</t>
  </si>
  <si>
    <t>K&amp;S Iconn PROCU Plus</t>
  </si>
  <si>
    <t>REFLOW</t>
  </si>
  <si>
    <t>apm</t>
  </si>
  <si>
    <t>proface</t>
  </si>
  <si>
    <t>CS1732B</t>
  </si>
  <si>
    <t>IPI-332B</t>
  </si>
  <si>
    <t>VSF150-24</t>
  </si>
  <si>
    <t xml:space="preserve">sanmotion </t>
  </si>
  <si>
    <t>MR-J2S-10A</t>
  </si>
  <si>
    <t>K&amp;S Iconn PLUS</t>
  </si>
  <si>
    <t>DATACON</t>
  </si>
  <si>
    <t>L09L142787</t>
  </si>
  <si>
    <t>CUPC-P220</t>
  </si>
  <si>
    <t>SIMCO</t>
  </si>
  <si>
    <t>DFL7661</t>
  </si>
  <si>
    <t>K&amp;S iconn PULS</t>
  </si>
  <si>
    <t>PIC827C ASM</t>
  </si>
  <si>
    <t>275mini-convector</t>
  </si>
  <si>
    <t>on loader</t>
  </si>
  <si>
    <t>LG</t>
  </si>
  <si>
    <t>W2254TQV</t>
  </si>
  <si>
    <t xml:space="preserve">icos </t>
  </si>
  <si>
    <t>TSK</t>
  </si>
  <si>
    <t>YASKAWASGDS-04A12A</t>
  </si>
  <si>
    <t>MSF-220-24</t>
  </si>
  <si>
    <t>ICONN PLUS</t>
  </si>
  <si>
    <t>Quantum 8800</t>
  </si>
  <si>
    <t>K$S ICONN PRO CU</t>
  </si>
  <si>
    <t>esec2100</t>
  </si>
  <si>
    <t>s olk-2</t>
  </si>
  <si>
    <t>mr-J2S-10A</t>
  </si>
  <si>
    <t>OPTIPLEX 790</t>
  </si>
  <si>
    <t>OTHER</t>
  </si>
  <si>
    <t>PLC</t>
  </si>
  <si>
    <t>x-ray</t>
  </si>
  <si>
    <t>SIMCO(5802i)</t>
  </si>
  <si>
    <t>ICONN</t>
  </si>
  <si>
    <t>Mitsubishi</t>
  </si>
  <si>
    <t xml:space="preserve"> </t>
  </si>
  <si>
    <t>K&amp;S ICONN</t>
  </si>
  <si>
    <t>DDR Inspection</t>
  </si>
  <si>
    <t xml:space="preserve">temp hum controller </t>
  </si>
  <si>
    <t>220V AC Fan</t>
  </si>
  <si>
    <t>TQAP-012</t>
  </si>
  <si>
    <t>SOJO-001</t>
  </si>
  <si>
    <t>SIMCO 1PEN</t>
  </si>
  <si>
    <t>IPI-322</t>
  </si>
  <si>
    <t>한미 (SP-750-24)</t>
  </si>
  <si>
    <t>Sony Monitor</t>
  </si>
  <si>
    <t>XGP-ACF1</t>
  </si>
  <si>
    <t>LCP24-30Q</t>
  </si>
  <si>
    <t>Xenus XSL-230-18</t>
  </si>
  <si>
    <t>xp30</t>
  </si>
  <si>
    <t>ieo</t>
  </si>
  <si>
    <t>SAE HAN</t>
  </si>
  <si>
    <t>QUINT-UPS 10A</t>
  </si>
  <si>
    <t>asd12c-c</t>
  </si>
  <si>
    <t>HANMI</t>
  </si>
  <si>
    <t>NEXIO</t>
  </si>
  <si>
    <t>ds-100</t>
  </si>
  <si>
    <t>MR-M3-10B</t>
  </si>
  <si>
    <t>sdvc31-m</t>
  </si>
  <si>
    <t>network hub</t>
  </si>
  <si>
    <t>SE07-12W</t>
  </si>
  <si>
    <t>LC1940R</t>
  </si>
  <si>
    <t>AT-1707</t>
  </si>
  <si>
    <t>L174F</t>
  </si>
  <si>
    <t>ESEC 2100</t>
  </si>
  <si>
    <t>SAT</t>
  </si>
  <si>
    <t>Step motor driver</t>
  </si>
  <si>
    <t>GRINDING</t>
  </si>
  <si>
    <t>PULSE HEAT CONTOLLER</t>
  </si>
  <si>
    <t>PDA</t>
  </si>
  <si>
    <t>SDVC31-M</t>
  </si>
  <si>
    <t>803-50036</t>
  </si>
  <si>
    <t>DAPB106-3-01-00</t>
  </si>
  <si>
    <t>apm mold</t>
  </si>
  <si>
    <t>WYPS-200s24A</t>
  </si>
  <si>
    <t>UT3-15BX1RD-F</t>
  </si>
  <si>
    <t>3Φ LED</t>
  </si>
  <si>
    <t>YASKAWASGDV-1R1901A</t>
  </si>
  <si>
    <t>K&amp;S ICONN LA</t>
  </si>
  <si>
    <t>IPI-331</t>
  </si>
  <si>
    <t>toray</t>
  </si>
  <si>
    <t>YASKAWA</t>
  </si>
  <si>
    <t>SCREEN PRINTER</t>
  </si>
  <si>
    <t>comera  b/d</t>
  </si>
  <si>
    <t>disco invert</t>
  </si>
  <si>
    <t>S7R15GB</t>
  </si>
  <si>
    <t>X-Ray</t>
  </si>
  <si>
    <t>F943GOT-SBD-RDI-CE</t>
  </si>
  <si>
    <t>prochip</t>
  </si>
  <si>
    <t>LASZER ABLLATION</t>
  </si>
  <si>
    <t>B2230</t>
  </si>
  <si>
    <t>L1742T</t>
  </si>
  <si>
    <t>sensor i/f</t>
  </si>
  <si>
    <t>DELL Notebook</t>
  </si>
  <si>
    <t>RIELLO</t>
  </si>
  <si>
    <t>한미 AUTONET HFRDO-32</t>
  </si>
  <si>
    <t>한미 AUTONET ANFVC-08V</t>
  </si>
  <si>
    <t>MV-9</t>
  </si>
  <si>
    <t>APM Mold</t>
  </si>
  <si>
    <t>300TX</t>
  </si>
  <si>
    <t>allenbredry u3000 driver</t>
  </si>
  <si>
    <t>AGP-3500-T1-AF</t>
  </si>
  <si>
    <t>MAIN CONTROLLER PC</t>
  </si>
  <si>
    <t>HG2-6400P</t>
  </si>
  <si>
    <t>PHILIPS</t>
  </si>
  <si>
    <t>Source 1CH</t>
  </si>
  <si>
    <t>SAW</t>
  </si>
  <si>
    <t>마-bk401m</t>
  </si>
  <si>
    <t>ha400</t>
  </si>
  <si>
    <t>Measuring Scope</t>
  </si>
  <si>
    <t>DELL PRECISION T3500</t>
  </si>
  <si>
    <t xml:space="preserve">iconn </t>
  </si>
  <si>
    <t>vsf220-24(9.5a)</t>
  </si>
  <si>
    <t xml:space="preserve"> ultra 3000 driver 750w </t>
  </si>
  <si>
    <t>SL150-TS</t>
  </si>
  <si>
    <t>L1735T</t>
  </si>
  <si>
    <t>CPCV5-070WR</t>
  </si>
  <si>
    <t>LED Ligh</t>
  </si>
  <si>
    <t>msda023a01a</t>
  </si>
  <si>
    <t>P2212HB</t>
  </si>
  <si>
    <t>B1740R</t>
  </si>
  <si>
    <t>PSC102</t>
  </si>
  <si>
    <t>TRL-170DR TOUCH</t>
  </si>
  <si>
    <t>DHP-24V 20A</t>
  </si>
  <si>
    <t>한미  laser controller</t>
  </si>
  <si>
    <t>sv110ig5a-4</t>
  </si>
  <si>
    <t>24v-0.7a</t>
  </si>
  <si>
    <t>ds-700d</t>
  </si>
  <si>
    <t>lcdp24-30q</t>
  </si>
  <si>
    <t xml:space="preserve">한미 controller power </t>
  </si>
  <si>
    <t xml:space="preserve">K&amp;S Iconn </t>
  </si>
  <si>
    <t xml:space="preserve">STI </t>
  </si>
  <si>
    <t>HP Notebook</t>
  </si>
  <si>
    <t xml:space="preserve">bot jam sensor controller </t>
  </si>
  <si>
    <t>77-4000-6110-10</t>
  </si>
  <si>
    <t>FP-VM-10-SO</t>
  </si>
  <si>
    <t>PLASAMA</t>
  </si>
  <si>
    <t>STI HEXA MAXX</t>
  </si>
  <si>
    <t>vsf220-24 9.5a</t>
  </si>
  <si>
    <t>61-381415-00</t>
  </si>
  <si>
    <t>SGDV-2R8A01A</t>
  </si>
  <si>
    <t>SGDV1201A</t>
  </si>
  <si>
    <t>THR-2000</t>
  </si>
  <si>
    <t>Anypro</t>
  </si>
  <si>
    <t>ksc100</t>
  </si>
  <si>
    <t>S-300-12</t>
  </si>
  <si>
    <t>maddt1207L01</t>
  </si>
  <si>
    <t>LaserJet P3015</t>
  </si>
  <si>
    <t>FPM-2150G</t>
  </si>
  <si>
    <t>DAGY</t>
  </si>
  <si>
    <t>VSP-88D</t>
  </si>
  <si>
    <t>LS XGK-CPUS</t>
  </si>
  <si>
    <t>Vision PC</t>
  </si>
  <si>
    <t>Measuring 장비 PC</t>
  </si>
  <si>
    <t>A21PB-16U-2Y04</t>
  </si>
  <si>
    <t>TOWA</t>
  </si>
  <si>
    <t>TOOL CLEANER</t>
  </si>
  <si>
    <t>P190Sb</t>
  </si>
  <si>
    <t>ESF300-24</t>
  </si>
  <si>
    <t>sgdv-2r8a01a</t>
  </si>
  <si>
    <t>19MB35PB</t>
  </si>
  <si>
    <t>as servo maddr1207</t>
  </si>
  <si>
    <t>BF-X2MB</t>
  </si>
  <si>
    <t>Power Supply 600w</t>
  </si>
  <si>
    <t>PC</t>
  </si>
  <si>
    <t>mr-j2-10a</t>
  </si>
  <si>
    <t>sgdv1r6a01a</t>
  </si>
  <si>
    <t>DELL '22'</t>
  </si>
  <si>
    <t>밸브 크리닝</t>
  </si>
  <si>
    <t>PC POWER mini356</t>
  </si>
  <si>
    <t>AJ34200</t>
  </si>
  <si>
    <t>cV5_DC</t>
  </si>
  <si>
    <t>Piotek 506</t>
  </si>
  <si>
    <t>COMIZOA SD-414</t>
  </si>
  <si>
    <t>miniQ350</t>
  </si>
  <si>
    <t>ipi-322ve</t>
  </si>
  <si>
    <t xml:space="preserve">Force senser b/d </t>
  </si>
  <si>
    <t>pg3000rm</t>
  </si>
  <si>
    <t>장비용 Notebook</t>
  </si>
  <si>
    <t>CSE24130W</t>
  </si>
  <si>
    <t xml:space="preserve">LG LCD "19" </t>
  </si>
  <si>
    <t>3400e</t>
  </si>
  <si>
    <t>3950_4</t>
  </si>
  <si>
    <t>DELL LCD"19"</t>
  </si>
  <si>
    <t>SP-750-24</t>
  </si>
  <si>
    <t>Innovation DL</t>
  </si>
  <si>
    <t>5802I</t>
  </si>
  <si>
    <t>inverter</t>
  </si>
  <si>
    <t>I-Sort Maxx</t>
  </si>
  <si>
    <t>24VDC SMPS</t>
  </si>
  <si>
    <t>Vision Lamp</t>
  </si>
  <si>
    <t>adapter</t>
  </si>
  <si>
    <t>kf-023s</t>
  </si>
  <si>
    <t>VFD037M23A</t>
  </si>
  <si>
    <t>GH17PS</t>
  </si>
  <si>
    <t>GA-G41M-ES2L</t>
  </si>
  <si>
    <t>SCN-800-24</t>
  </si>
  <si>
    <t>SIP16WB</t>
  </si>
  <si>
    <t>DB-V200</t>
  </si>
  <si>
    <t>SJ-M300</t>
  </si>
  <si>
    <t>EzS-PD-56L-A-D</t>
  </si>
  <si>
    <t>ML-V190D1</t>
  </si>
  <si>
    <t xml:space="preserve">mr-j3-10b </t>
  </si>
  <si>
    <t>NS-2370DN</t>
  </si>
  <si>
    <t>ESD Checker</t>
  </si>
  <si>
    <t>HP 2275</t>
  </si>
  <si>
    <t>I/O Board</t>
  </si>
  <si>
    <t>RFID Reader</t>
  </si>
  <si>
    <t>GA-H61M-S2PV</t>
  </si>
  <si>
    <t>amat raider</t>
  </si>
  <si>
    <t>YASKAWA SERVO</t>
  </si>
  <si>
    <t>SONIX SAT</t>
  </si>
  <si>
    <t>ssp7000ur</t>
  </si>
  <si>
    <t>Q1859</t>
  </si>
  <si>
    <t>H2212</t>
  </si>
  <si>
    <t>dfl-7161</t>
  </si>
  <si>
    <t>PRO2020NT</t>
  </si>
  <si>
    <t>dps-500xb</t>
  </si>
  <si>
    <t>655 WEST RESERVE DRIVE</t>
  </si>
  <si>
    <t>656 WEST RESERVE DRIVE</t>
  </si>
  <si>
    <t>657 WEST RESERVE DRIVE</t>
  </si>
  <si>
    <t>AEROSTAT"XC"</t>
  </si>
  <si>
    <t>mr-j3-s133</t>
  </si>
  <si>
    <t xml:space="preserve">pc POWER </t>
  </si>
  <si>
    <t>new sync</t>
  </si>
  <si>
    <t>INOV100-T</t>
  </si>
  <si>
    <t>S8VM-10024CD</t>
  </si>
  <si>
    <t>VISION DIRECT PLASMA</t>
  </si>
  <si>
    <t>Yamato</t>
  </si>
  <si>
    <t>DAGE NORDSON</t>
  </si>
  <si>
    <t>sgdv- 2r8a010a</t>
  </si>
  <si>
    <t>OTP 장비</t>
  </si>
  <si>
    <t>ac servo DRIVER</t>
  </si>
  <si>
    <t>Roader</t>
  </si>
  <si>
    <t>SS-SRD 1호기</t>
  </si>
  <si>
    <t>LIAETECH</t>
  </si>
  <si>
    <t>esec 2100   Ars-310/5</t>
  </si>
  <si>
    <t>TTX674</t>
  </si>
  <si>
    <t>X-RAY Power</t>
  </si>
  <si>
    <t>fr-e720-02</t>
  </si>
  <si>
    <t>DV1224</t>
  </si>
  <si>
    <t>SL104-BT</t>
  </si>
  <si>
    <t>2D INSP' MSCM-2500</t>
  </si>
  <si>
    <t>NIPRON PCSF-200P-X2S</t>
  </si>
  <si>
    <t>PIOC-G3/F</t>
  </si>
  <si>
    <t>32LS-3400</t>
  </si>
  <si>
    <t>Audio system</t>
  </si>
  <si>
    <t xml:space="preserve">mr-j2s-10a </t>
  </si>
  <si>
    <t>RELLER</t>
  </si>
  <si>
    <t>ER-VW</t>
  </si>
  <si>
    <t>vsp10kva</t>
  </si>
  <si>
    <t>ESEc 2100   Ars-310/5</t>
  </si>
  <si>
    <t>VSP10KA</t>
  </si>
  <si>
    <t>IEC667</t>
  </si>
  <si>
    <t>UV  METER</t>
  </si>
  <si>
    <t>power supply</t>
  </si>
  <si>
    <t>HFRDO-32</t>
  </si>
  <si>
    <t>APC-E036</t>
  </si>
  <si>
    <t>EY100G(DR-5)</t>
  </si>
  <si>
    <t>VSP</t>
  </si>
  <si>
    <t>AJ54600</t>
  </si>
  <si>
    <t>E1910P</t>
  </si>
  <si>
    <t>wysp-220s24a</t>
  </si>
  <si>
    <t>OPTIPLEX 780</t>
  </si>
  <si>
    <t>AC Servo Driver</t>
  </si>
  <si>
    <t>TSC-210</t>
  </si>
  <si>
    <t>HP Pro3330MT</t>
  </si>
  <si>
    <t>LX20CP</t>
  </si>
  <si>
    <t>5802i</t>
  </si>
  <si>
    <t xml:space="preserve">통신 케이블 </t>
  </si>
  <si>
    <t>Vision</t>
  </si>
  <si>
    <t>BPC-8060</t>
  </si>
  <si>
    <t>IPI-220</t>
  </si>
  <si>
    <t xml:space="preserve">EPSON </t>
  </si>
  <si>
    <t>sgdm-a5</t>
  </si>
  <si>
    <t>YASKAWA SERVOPACK</t>
  </si>
  <si>
    <t>3000Q</t>
  </si>
  <si>
    <t>ipi-322</t>
  </si>
  <si>
    <t>DFL7201</t>
  </si>
  <si>
    <t>VSP 1201A</t>
  </si>
  <si>
    <t>DVC10KVA</t>
  </si>
  <si>
    <t>TOP-300 ADVICE</t>
  </si>
  <si>
    <t>sk-100</t>
  </si>
  <si>
    <t>AEROSTAT XC</t>
  </si>
  <si>
    <t>IPI-322VE</t>
  </si>
  <si>
    <t>HR-01TW1</t>
  </si>
  <si>
    <t>TPC-F110-MT(HP)</t>
  </si>
  <si>
    <t>TZ4ST</t>
  </si>
  <si>
    <t>GP2501-SC11</t>
  </si>
  <si>
    <t>K&amp;S Iconn Procu PLUS</t>
  </si>
  <si>
    <t>원익 CVD</t>
  </si>
  <si>
    <t>PG3000rm</t>
  </si>
  <si>
    <t xml:space="preserve">450W POWER </t>
  </si>
  <si>
    <t>ES02</t>
  </si>
  <si>
    <t>YZ 34-45</t>
  </si>
  <si>
    <t>AMR</t>
  </si>
  <si>
    <t>JOD-S-053249K</t>
  </si>
  <si>
    <t>IDK00205050</t>
  </si>
  <si>
    <t>ES03</t>
  </si>
  <si>
    <t>pa170a</t>
  </si>
  <si>
    <t xml:space="preserve">ESEC 2100 </t>
  </si>
  <si>
    <t>mr-j2s-10b</t>
  </si>
  <si>
    <t>sgdv- r90a01a</t>
  </si>
  <si>
    <t>JAC-30S</t>
  </si>
  <si>
    <t xml:space="preserve">MPSD1001 </t>
  </si>
  <si>
    <t>d3432</t>
  </si>
  <si>
    <t>APC-C4001-S1A</t>
  </si>
  <si>
    <t>1770xr</t>
  </si>
  <si>
    <t>DELL D03S</t>
  </si>
  <si>
    <t>IPS-120BT</t>
  </si>
  <si>
    <t>Scope</t>
  </si>
  <si>
    <t xml:space="preserve">SMPS </t>
  </si>
  <si>
    <t>esf150-24 6a</t>
  </si>
  <si>
    <t>QT200</t>
  </si>
  <si>
    <t>통신케이블</t>
  </si>
  <si>
    <t>ESD Checker RFID reader</t>
  </si>
  <si>
    <t>나르미</t>
  </si>
  <si>
    <t>TEST</t>
  </si>
  <si>
    <t>Model : SGDH-50AE </t>
  </si>
  <si>
    <t>WP10240I</t>
  </si>
  <si>
    <t>SIMCO MINION</t>
  </si>
  <si>
    <t>simco</t>
  </si>
  <si>
    <t>AC235AS-00</t>
  </si>
  <si>
    <t>IDEAL 80T</t>
  </si>
  <si>
    <t>FH-ZD271MGF</t>
  </si>
  <si>
    <t>TPC-F019-SF</t>
  </si>
  <si>
    <t>QUNTUM</t>
  </si>
  <si>
    <t>1740X</t>
  </si>
  <si>
    <t>29.2V 18A Charger</t>
  </si>
  <si>
    <t>XP30-TTA/DC</t>
  </si>
  <si>
    <t>JWS50-24/A</t>
  </si>
  <si>
    <t>SAT SONIC</t>
  </si>
  <si>
    <t>B1940</t>
  </si>
  <si>
    <t>CSDL-04AA00-ML</t>
  </si>
  <si>
    <t>indelag</t>
  </si>
  <si>
    <t>HEC-300FN-1RX</t>
  </si>
  <si>
    <t>MS-300</t>
  </si>
  <si>
    <t>알람용 경광등</t>
  </si>
  <si>
    <t xml:space="preserve">INDEL AG </t>
  </si>
  <si>
    <t xml:space="preserve">Strip Tester </t>
  </si>
  <si>
    <t>장비용 ionizer sj-f020</t>
  </si>
  <si>
    <t>PC POWER</t>
  </si>
  <si>
    <t>TEMP CONTROLLER</t>
  </si>
  <si>
    <t>JBL7451251700002FJ</t>
  </si>
  <si>
    <t>N193(608425-003)</t>
  </si>
  <si>
    <t>PRO-400NS</t>
  </si>
  <si>
    <t>2420F</t>
  </si>
  <si>
    <t>ss otron</t>
  </si>
  <si>
    <t>스피드게이트</t>
  </si>
  <si>
    <t>에어샤워 음성 안내 시스템</t>
  </si>
  <si>
    <t>IC Program Rom Writer</t>
  </si>
  <si>
    <t>esf300-24</t>
  </si>
  <si>
    <t>스피커설치</t>
  </si>
  <si>
    <t>스피드게이트점검</t>
  </si>
  <si>
    <t>장비  pc</t>
  </si>
  <si>
    <t>H240AS</t>
  </si>
  <si>
    <t>물건 이동 지원</t>
  </si>
  <si>
    <t>HP 노트북</t>
  </si>
  <si>
    <t>SKY LIGHT</t>
  </si>
  <si>
    <t>dc-UPS /24DC/10</t>
  </si>
  <si>
    <t>reflow</t>
  </si>
  <si>
    <t>mc-16F-HM</t>
  </si>
  <si>
    <t xml:space="preserve"> 4SIGHT M</t>
  </si>
  <si>
    <t>L235P-01</t>
  </si>
  <si>
    <t>CCTV</t>
  </si>
  <si>
    <t>K&amp;S ULTRA</t>
  </si>
  <si>
    <t>WT1203</t>
  </si>
  <si>
    <t>후문스피드게이트</t>
  </si>
  <si>
    <t>L11-551C 6CH</t>
  </si>
  <si>
    <t>후문 계근대</t>
  </si>
  <si>
    <t>ER-VW</t>
    <phoneticPr fontId="3" type="noConversion"/>
  </si>
  <si>
    <t>error / 분해하여 크리닝 후 제 조립</t>
    <phoneticPr fontId="3" type="noConversion"/>
  </si>
  <si>
    <t>SDVC31-M</t>
    <phoneticPr fontId="3" type="noConversion"/>
  </si>
  <si>
    <t>수리완료</t>
    <phoneticPr fontId="3" type="noConversion"/>
  </si>
  <si>
    <t>DELL</t>
    <phoneticPr fontId="3" type="noConversion"/>
  </si>
  <si>
    <t>자체</t>
    <phoneticPr fontId="3" type="noConversion"/>
  </si>
  <si>
    <t>정기수</t>
    <phoneticPr fontId="3" type="noConversion"/>
  </si>
  <si>
    <t>Bump1</t>
    <phoneticPr fontId="3" type="noConversion"/>
  </si>
  <si>
    <t>N/A</t>
    <phoneticPr fontId="3" type="noConversion"/>
  </si>
  <si>
    <t>박민수</t>
    <phoneticPr fontId="3" type="noConversion"/>
  </si>
  <si>
    <t>POWER 불량</t>
    <phoneticPr fontId="3" type="noConversion"/>
  </si>
  <si>
    <t>박민수</t>
    <phoneticPr fontId="3" type="noConversion"/>
  </si>
  <si>
    <t>bump</t>
    <phoneticPr fontId="3" type="noConversion"/>
  </si>
  <si>
    <t>AOL</t>
    <phoneticPr fontId="3" type="noConversion"/>
  </si>
  <si>
    <t>ROBOT CONTROLLER</t>
    <phoneticPr fontId="3" type="noConversion"/>
  </si>
  <si>
    <t>작동불량</t>
    <phoneticPr fontId="3" type="noConversion"/>
  </si>
  <si>
    <t>SEREN R600 13.56</t>
    <phoneticPr fontId="3" type="noConversion"/>
  </si>
  <si>
    <t>R600-0209-13</t>
    <phoneticPr fontId="3" type="noConversion"/>
  </si>
  <si>
    <t>R600-6227-13R1</t>
    <phoneticPr fontId="3" type="noConversion"/>
  </si>
  <si>
    <t>Matrox Card</t>
    <phoneticPr fontId="3" type="noConversion"/>
  </si>
  <si>
    <t>Fan 교체</t>
    <phoneticPr fontId="3" type="noConversion"/>
  </si>
  <si>
    <t>수리완료</t>
    <phoneticPr fontId="3" type="noConversion"/>
  </si>
  <si>
    <t>C</t>
    <phoneticPr fontId="3" type="noConversion"/>
  </si>
  <si>
    <t>3T3P</t>
    <phoneticPr fontId="3" type="noConversion"/>
  </si>
  <si>
    <t>MONITOR</t>
    <phoneticPr fontId="3" type="noConversion"/>
  </si>
  <si>
    <t>Touch Monitor</t>
    <phoneticPr fontId="3" type="noConversion"/>
  </si>
  <si>
    <t>패널 백라이트 out 및 콘덴서 교체</t>
    <phoneticPr fontId="3" type="noConversion"/>
  </si>
  <si>
    <t>자체</t>
    <phoneticPr fontId="3" type="noConversion"/>
  </si>
  <si>
    <t>정기수</t>
    <phoneticPr fontId="3" type="noConversion"/>
  </si>
  <si>
    <t>FPM-2150G</t>
    <phoneticPr fontId="3" type="noConversion"/>
  </si>
  <si>
    <t>이성문</t>
    <phoneticPr fontId="3" type="noConversion"/>
  </si>
  <si>
    <t>TEST</t>
    <phoneticPr fontId="3" type="noConversion"/>
  </si>
  <si>
    <t>PTP</t>
    <phoneticPr fontId="3" type="noConversion"/>
  </si>
  <si>
    <t>LOAD B/D</t>
    <phoneticPr fontId="3" type="noConversion"/>
  </si>
  <si>
    <t>칩 콘덴서 OUT 2.2UF /0.1UF</t>
    <phoneticPr fontId="3" type="noConversion"/>
  </si>
  <si>
    <t>신명호</t>
    <phoneticPr fontId="3" type="noConversion"/>
  </si>
  <si>
    <t>tcncp</t>
    <phoneticPr fontId="3" type="noConversion"/>
  </si>
  <si>
    <t>MHAA-100W</t>
    <phoneticPr fontId="3" type="noConversion"/>
  </si>
  <si>
    <t>ILLUMINATOR BOX</t>
    <phoneticPr fontId="3" type="noConversion"/>
  </si>
  <si>
    <t>동작불량</t>
    <phoneticPr fontId="3" type="noConversion"/>
  </si>
  <si>
    <t>장현우</t>
    <phoneticPr fontId="3" type="noConversion"/>
  </si>
  <si>
    <t>C</t>
    <phoneticPr fontId="3" type="noConversion"/>
  </si>
  <si>
    <t>3T4P</t>
    <phoneticPr fontId="3" type="noConversion"/>
  </si>
  <si>
    <t>MONITOR</t>
    <phoneticPr fontId="3" type="noConversion"/>
  </si>
  <si>
    <t>3410055-01</t>
    <phoneticPr fontId="3" type="noConversion"/>
  </si>
  <si>
    <t>TOUCH MONITOR</t>
    <phoneticPr fontId="3" type="noConversion"/>
  </si>
  <si>
    <t>플라즈마 장비 모니터 / 화면 안들어옴</t>
    <phoneticPr fontId="3" type="noConversion"/>
  </si>
  <si>
    <t>자체</t>
    <phoneticPr fontId="3" type="noConversion"/>
  </si>
  <si>
    <t>정기수</t>
    <phoneticPr fontId="3" type="noConversion"/>
  </si>
  <si>
    <t>L240AS-00</t>
    <phoneticPr fontId="3" type="noConversion"/>
  </si>
  <si>
    <t>전원 출력 안됨 / 내부 모든 콘덴서 교체</t>
    <phoneticPr fontId="3" type="noConversion"/>
  </si>
  <si>
    <t>00524549</t>
    <phoneticPr fontId="3" type="noConversion"/>
  </si>
  <si>
    <t>삼성노트북</t>
    <phoneticPr fontId="3" type="noConversion"/>
  </si>
  <si>
    <t>W16-045N4D 19V 2.37A</t>
    <phoneticPr fontId="3" type="noConversion"/>
  </si>
  <si>
    <t>전원 불안정 / 분해 제 조립</t>
    <phoneticPr fontId="3" type="noConversion"/>
  </si>
  <si>
    <t>W045R063L</t>
    <phoneticPr fontId="3" type="noConversion"/>
  </si>
  <si>
    <t>TCNCP</t>
    <phoneticPr fontId="3" type="noConversion"/>
  </si>
  <si>
    <t>WYSP-200S24A</t>
    <phoneticPr fontId="3" type="noConversion"/>
  </si>
  <si>
    <t>POWER SUPPLY</t>
    <phoneticPr fontId="3" type="noConversion"/>
  </si>
  <si>
    <t>출력 OUT</t>
    <phoneticPr fontId="3" type="noConversion"/>
  </si>
  <si>
    <t>안세왕</t>
    <phoneticPr fontId="3" type="noConversion"/>
  </si>
  <si>
    <t>B</t>
    <phoneticPr fontId="3" type="noConversion"/>
  </si>
  <si>
    <t>SINGRATION</t>
    <phoneticPr fontId="3" type="noConversion"/>
  </si>
  <si>
    <t>sgdv- r90a01a</t>
    <phoneticPr fontId="3" type="noConversion"/>
  </si>
  <si>
    <t>NEW PARA COPY</t>
    <phoneticPr fontId="3" type="noConversion"/>
  </si>
  <si>
    <t>김종한</t>
    <phoneticPr fontId="3" type="noConversion"/>
  </si>
  <si>
    <t>ESEC2008</t>
    <phoneticPr fontId="3" type="noConversion"/>
  </si>
  <si>
    <t>Camers Interface B/D</t>
    <phoneticPr fontId="3" type="noConversion"/>
  </si>
  <si>
    <t>이성곤</t>
    <phoneticPr fontId="3" type="noConversion"/>
  </si>
  <si>
    <t>Dry Etch</t>
    <phoneticPr fontId="3" type="noConversion"/>
  </si>
  <si>
    <t>Lan 포트 이상 추정</t>
    <phoneticPr fontId="3" type="noConversion"/>
  </si>
  <si>
    <t>김경호</t>
    <phoneticPr fontId="3" type="noConversion"/>
  </si>
  <si>
    <t>손경원</t>
    <phoneticPr fontId="3" type="noConversion"/>
  </si>
  <si>
    <t>GST FLUX</t>
    <phoneticPr fontId="3" type="noConversion"/>
  </si>
  <si>
    <t>디지털 굴절계</t>
    <phoneticPr fontId="3" type="noConversion"/>
  </si>
  <si>
    <t>버튼 사용시 Error</t>
    <phoneticPr fontId="3" type="noConversion"/>
  </si>
  <si>
    <t>Ionizer 설치</t>
    <phoneticPr fontId="3" type="noConversion"/>
  </si>
  <si>
    <t xml:space="preserve">S#20호기, S#21호기 </t>
    <phoneticPr fontId="3" type="noConversion"/>
  </si>
  <si>
    <t>063103 / 180448N</t>
    <phoneticPr fontId="3" type="noConversion"/>
  </si>
  <si>
    <t>CM-780 / CM-800a</t>
    <phoneticPr fontId="3" type="noConversion"/>
  </si>
  <si>
    <t>K&amp;S Iconn PLUS</t>
    <phoneticPr fontId="3" type="noConversion"/>
  </si>
  <si>
    <t>Matrox 4GP/KB</t>
    <phoneticPr fontId="3" type="noConversion"/>
  </si>
  <si>
    <t>Windows Booting Fail</t>
    <phoneticPr fontId="3" type="noConversion"/>
  </si>
  <si>
    <t>최기영</t>
    <phoneticPr fontId="3" type="noConversion"/>
  </si>
  <si>
    <t>계단 안내 방송</t>
    <phoneticPr fontId="3" type="noConversion"/>
  </si>
  <si>
    <t>음원 모듈 제작중</t>
    <phoneticPr fontId="3" type="noConversion"/>
  </si>
  <si>
    <t>Stepper Controller</t>
    <phoneticPr fontId="3" type="noConversion"/>
  </si>
  <si>
    <t>sol동작 불량</t>
    <phoneticPr fontId="3" type="noConversion"/>
  </si>
  <si>
    <t xml:space="preserve">안세왕 </t>
    <phoneticPr fontId="3" type="noConversion"/>
  </si>
  <si>
    <t>reflow</t>
    <phoneticPr fontId="3" type="noConversion"/>
  </si>
  <si>
    <t xml:space="preserve">motor controller </t>
    <phoneticPr fontId="3" type="noConversion"/>
  </si>
  <si>
    <t>out  / H-R tr 교환</t>
    <phoneticPr fontId="3" type="noConversion"/>
  </si>
  <si>
    <t>e202</t>
    <phoneticPr fontId="3" type="noConversion"/>
  </si>
  <si>
    <t>박경식</t>
    <phoneticPr fontId="3" type="noConversion"/>
  </si>
  <si>
    <t>pc</t>
    <phoneticPr fontId="3" type="noConversion"/>
  </si>
  <si>
    <t>power supply</t>
    <phoneticPr fontId="3" type="noConversion"/>
  </si>
  <si>
    <t>이성학</t>
    <phoneticPr fontId="3" type="noConversion"/>
  </si>
  <si>
    <t>EliteDesk 800 G5 SFF</t>
    <phoneticPr fontId="3" type="noConversion"/>
  </si>
  <si>
    <t>Main controller PC</t>
    <phoneticPr fontId="3" type="noConversion"/>
  </si>
  <si>
    <t>부팅 안됨 / HDD 인식 불량으로 교체</t>
    <phoneticPr fontId="3" type="noConversion"/>
  </si>
  <si>
    <t>4CE0032W6N</t>
    <phoneticPr fontId="3" type="noConversion"/>
  </si>
  <si>
    <t>박상웅</t>
    <phoneticPr fontId="3" type="noConversion"/>
  </si>
  <si>
    <t>SX-4</t>
    <phoneticPr fontId="3" type="noConversion"/>
  </si>
  <si>
    <t>A5E30947477-H3</t>
    <phoneticPr fontId="3" type="noConversion"/>
  </si>
  <si>
    <t>DC-DC converter (PC)</t>
    <phoneticPr fontId="3" type="noConversion"/>
  </si>
  <si>
    <t>14/25-0330</t>
    <phoneticPr fontId="3" type="noConversion"/>
  </si>
  <si>
    <t>백윤덕</t>
    <phoneticPr fontId="3" type="noConversion"/>
  </si>
  <si>
    <t>U/F</t>
    <phoneticPr fontId="3" type="noConversion"/>
  </si>
  <si>
    <t>VISION LAMP</t>
    <phoneticPr fontId="3" type="noConversion"/>
  </si>
  <si>
    <t>LED OUT</t>
    <phoneticPr fontId="3" type="noConversion"/>
  </si>
  <si>
    <t>이성곤</t>
    <phoneticPr fontId="3" type="noConversion"/>
  </si>
  <si>
    <t xml:space="preserve">Dry etching </t>
  </si>
  <si>
    <t>Plasma Maching Unit</t>
  </si>
  <si>
    <t>STEPPER CONTROLLER B/D</t>
    <phoneticPr fontId="3" type="noConversion"/>
  </si>
  <si>
    <t>유성수</t>
    <phoneticPr fontId="3" type="noConversion"/>
  </si>
  <si>
    <t>ac/dc conveter</t>
    <phoneticPr fontId="3" type="noConversion"/>
  </si>
  <si>
    <t>출력불량</t>
    <phoneticPr fontId="3" type="noConversion"/>
  </si>
  <si>
    <t>PCA-6186VE</t>
    <phoneticPr fontId="3" type="noConversion"/>
  </si>
  <si>
    <t>부팅 안됨 / 모든 콘덴서 및 CPU 교체</t>
    <phoneticPr fontId="3" type="noConversion"/>
  </si>
  <si>
    <t>부팅 안됨 / 모든 콘덴서 교체</t>
    <phoneticPr fontId="3" type="noConversion"/>
  </si>
  <si>
    <t>AKA1961363</t>
    <phoneticPr fontId="3" type="noConversion"/>
  </si>
  <si>
    <t>AKA1175643</t>
    <phoneticPr fontId="3" type="noConversion"/>
  </si>
  <si>
    <t>AKA1244751</t>
    <phoneticPr fontId="3" type="noConversion"/>
  </si>
  <si>
    <t>수리완료</t>
    <phoneticPr fontId="3" type="noConversion"/>
  </si>
  <si>
    <t>F</t>
    <phoneticPr fontId="3" type="noConversion"/>
  </si>
  <si>
    <t>5T2P</t>
    <phoneticPr fontId="3" type="noConversion"/>
  </si>
  <si>
    <t>N/A</t>
    <phoneticPr fontId="3" type="noConversion"/>
  </si>
  <si>
    <t>Heater control</t>
    <phoneticPr fontId="3" type="noConversion"/>
  </si>
  <si>
    <t>버튼 불량으로 교체함</t>
    <phoneticPr fontId="3" type="noConversion"/>
  </si>
  <si>
    <t>자체</t>
    <phoneticPr fontId="3" type="noConversion"/>
  </si>
  <si>
    <t>정기수</t>
    <phoneticPr fontId="3" type="noConversion"/>
  </si>
  <si>
    <t>micro controller</t>
    <phoneticPr fontId="3" type="noConversion"/>
  </si>
  <si>
    <t>전원 안나옴 / 모든 콘덴서 교체</t>
    <phoneticPr fontId="3" type="noConversion"/>
  </si>
  <si>
    <t>수리완료</t>
    <phoneticPr fontId="3" type="noConversion"/>
  </si>
  <si>
    <t>A</t>
    <phoneticPr fontId="3" type="noConversion"/>
  </si>
  <si>
    <t>1T4P</t>
    <phoneticPr fontId="3" type="noConversion"/>
  </si>
  <si>
    <t>김재영</t>
    <phoneticPr fontId="3" type="noConversion"/>
  </si>
  <si>
    <t>IPI-322</t>
    <phoneticPr fontId="3" type="noConversion"/>
  </si>
  <si>
    <t>ion값 불량</t>
    <phoneticPr fontId="3" type="noConversion"/>
  </si>
  <si>
    <t>170400713</t>
    <phoneticPr fontId="3" type="noConversion"/>
  </si>
  <si>
    <t>자체</t>
    <phoneticPr fontId="3" type="noConversion"/>
  </si>
  <si>
    <t>정기수</t>
    <phoneticPr fontId="3" type="noConversion"/>
  </si>
  <si>
    <t>170901693</t>
    <phoneticPr fontId="3" type="noConversion"/>
  </si>
  <si>
    <t>김정훈</t>
    <phoneticPr fontId="3" type="noConversion"/>
  </si>
  <si>
    <t>B</t>
    <phoneticPr fontId="3" type="noConversion"/>
  </si>
  <si>
    <t>2T3P</t>
    <phoneticPr fontId="3" type="noConversion"/>
  </si>
  <si>
    <t>허준영</t>
    <phoneticPr fontId="3" type="noConversion"/>
  </si>
  <si>
    <t>홍복희</t>
    <phoneticPr fontId="3" type="noConversion"/>
  </si>
  <si>
    <t>화면 파손 / 구매 교체</t>
    <phoneticPr fontId="3" type="noConversion"/>
  </si>
  <si>
    <t>170600874</t>
    <phoneticPr fontId="3" type="noConversion"/>
  </si>
  <si>
    <t>200400379</t>
    <phoneticPr fontId="3" type="noConversion"/>
  </si>
  <si>
    <t>김정훈</t>
    <phoneticPr fontId="3" type="noConversion"/>
  </si>
  <si>
    <t>수리완료</t>
    <phoneticPr fontId="3" type="noConversion"/>
  </si>
  <si>
    <t>SIMCO</t>
    <phoneticPr fontId="3" type="noConversion"/>
  </si>
  <si>
    <t>*044040094312527*</t>
    <phoneticPr fontId="3" type="noConversion"/>
  </si>
  <si>
    <t>IPI-322VE</t>
    <phoneticPr fontId="3" type="noConversion"/>
  </si>
  <si>
    <t>150200233</t>
    <phoneticPr fontId="3" type="noConversion"/>
  </si>
  <si>
    <t>ESEC2100SA PLUS</t>
    <phoneticPr fontId="3" type="noConversion"/>
  </si>
  <si>
    <t>Power supply</t>
    <phoneticPr fontId="3" type="noConversion"/>
  </si>
  <si>
    <t>Relay board</t>
    <phoneticPr fontId="3" type="noConversion"/>
  </si>
  <si>
    <t xml:space="preserve">이상동작 / relay 구매중 </t>
    <phoneticPr fontId="3" type="noConversion"/>
  </si>
  <si>
    <t>음원 모듈 제작완료 및 설치대기</t>
    <phoneticPr fontId="3" type="noConversion"/>
  </si>
  <si>
    <t>황종수</t>
    <phoneticPr fontId="3" type="noConversion"/>
  </si>
  <si>
    <t>QA</t>
    <phoneticPr fontId="3" type="noConversion"/>
  </si>
  <si>
    <t>8pin Connector 25pin 변환</t>
    <phoneticPr fontId="3" type="noConversion"/>
  </si>
  <si>
    <t>ICONN PLUS</t>
    <phoneticPr fontId="3" type="noConversion"/>
  </si>
  <si>
    <t>Windows 재설치</t>
    <phoneticPr fontId="3" type="noConversion"/>
  </si>
  <si>
    <t>허준영</t>
    <phoneticPr fontId="3" type="noConversion"/>
  </si>
  <si>
    <t>자체</t>
    <phoneticPr fontId="3" type="noConversion"/>
  </si>
  <si>
    <t>LGV</t>
    <phoneticPr fontId="3" type="noConversion"/>
  </si>
  <si>
    <t>ICS5015L-48050</t>
    <phoneticPr fontId="3" type="noConversion"/>
  </si>
  <si>
    <t>SUB Charger</t>
    <phoneticPr fontId="3" type="noConversion"/>
  </si>
  <si>
    <t>C2004197 03</t>
    <phoneticPr fontId="3" type="noConversion"/>
  </si>
  <si>
    <t>황을수</t>
    <phoneticPr fontId="3" type="noConversion"/>
  </si>
  <si>
    <t>EE</t>
    <phoneticPr fontId="3" type="noConversion"/>
  </si>
  <si>
    <t>EE2</t>
    <phoneticPr fontId="3" type="noConversion"/>
  </si>
  <si>
    <t>K&amp;S Iconn</t>
    <phoneticPr fontId="3" type="noConversion"/>
  </si>
  <si>
    <t>HDD 죽음</t>
    <phoneticPr fontId="3" type="noConversion"/>
  </si>
  <si>
    <t>허준영</t>
    <phoneticPr fontId="3" type="noConversion"/>
  </si>
  <si>
    <t>김현만</t>
    <phoneticPr fontId="3" type="noConversion"/>
  </si>
  <si>
    <t>GM6-PAFA</t>
    <phoneticPr fontId="3" type="noConversion"/>
  </si>
  <si>
    <t>출력 안나옴</t>
    <phoneticPr fontId="3" type="noConversion"/>
  </si>
  <si>
    <t>GM6-PAFB</t>
    <phoneticPr fontId="3" type="noConversion"/>
  </si>
  <si>
    <t>IXO 3.6V</t>
    <phoneticPr fontId="3" type="noConversion"/>
  </si>
  <si>
    <t>회전 전환 스위치 고장 / 수리</t>
    <phoneticPr fontId="3" type="noConversion"/>
  </si>
  <si>
    <t>유창환</t>
    <phoneticPr fontId="3" type="noConversion"/>
  </si>
  <si>
    <t>MOLD</t>
    <phoneticPr fontId="3" type="noConversion"/>
  </si>
  <si>
    <t>CSE24130W</t>
    <phoneticPr fontId="3" type="noConversion"/>
  </si>
  <si>
    <t>POWER SUPPLY24V13A</t>
    <phoneticPr fontId="3" type="noConversion"/>
  </si>
  <si>
    <t>출력안됨</t>
    <phoneticPr fontId="3" type="noConversion"/>
  </si>
  <si>
    <t>김진환</t>
    <phoneticPr fontId="3" type="noConversion"/>
  </si>
  <si>
    <t>수리완료</t>
    <phoneticPr fontId="3" type="noConversion"/>
  </si>
  <si>
    <t>G</t>
    <phoneticPr fontId="3" type="noConversion"/>
  </si>
  <si>
    <t>6T2P</t>
    <phoneticPr fontId="3" type="noConversion"/>
  </si>
  <si>
    <t>W/B/G</t>
    <phoneticPr fontId="3" type="noConversion"/>
  </si>
  <si>
    <t>부팅 에러</t>
    <phoneticPr fontId="3" type="noConversion"/>
  </si>
  <si>
    <t>자체</t>
    <phoneticPr fontId="3" type="noConversion"/>
  </si>
  <si>
    <t>정기수</t>
    <phoneticPr fontId="3" type="noConversion"/>
  </si>
  <si>
    <t>GIGABYTE</t>
    <phoneticPr fontId="3" type="noConversion"/>
  </si>
  <si>
    <t>김현만</t>
    <phoneticPr fontId="3" type="noConversion"/>
  </si>
  <si>
    <t>mr-j2s-20a</t>
    <phoneticPr fontId="3" type="noConversion"/>
  </si>
  <si>
    <t>e9 error</t>
    <phoneticPr fontId="3" type="noConversion"/>
  </si>
  <si>
    <t>TK-4001</t>
    <phoneticPr fontId="3" type="noConversion"/>
  </si>
  <si>
    <t>DIGITAL MULT TESTER</t>
    <phoneticPr fontId="3" type="noConversion"/>
  </si>
  <si>
    <t>전류 측정 안됨 / 측정단자 내부 퓨즈 500mm 교체 크리닝</t>
    <phoneticPr fontId="3" type="noConversion"/>
  </si>
  <si>
    <t>400535</t>
    <phoneticPr fontId="3" type="noConversion"/>
  </si>
  <si>
    <t>홍학선</t>
    <phoneticPr fontId="3" type="noConversion"/>
  </si>
  <si>
    <t>0.1UF 칩콘덴서 교체</t>
    <phoneticPr fontId="3" type="noConversion"/>
  </si>
  <si>
    <t>허준영</t>
    <phoneticPr fontId="3" type="noConversion"/>
  </si>
  <si>
    <t>EE</t>
    <phoneticPr fontId="3" type="noConversion"/>
  </si>
  <si>
    <t>EE2</t>
    <phoneticPr fontId="3" type="noConversion"/>
  </si>
  <si>
    <t>K&amp;S Iconn PLUS</t>
    <phoneticPr fontId="3" type="noConversion"/>
  </si>
  <si>
    <t>강영구</t>
    <phoneticPr fontId="3" type="noConversion"/>
  </si>
  <si>
    <t>N/A</t>
    <phoneticPr fontId="3" type="noConversion"/>
  </si>
  <si>
    <t>개인 PC</t>
    <phoneticPr fontId="3" type="noConversion"/>
  </si>
  <si>
    <t>BOOTING 안됨</t>
    <phoneticPr fontId="3" type="noConversion"/>
  </si>
  <si>
    <t>김진만</t>
    <phoneticPr fontId="3" type="noConversion"/>
  </si>
  <si>
    <t xml:space="preserve">STANBY 5V 불량 </t>
    <phoneticPr fontId="3" type="noConversion"/>
  </si>
  <si>
    <t>김진환</t>
    <phoneticPr fontId="3" type="noConversion"/>
  </si>
  <si>
    <t>수리완료</t>
    <phoneticPr fontId="3" type="noConversion"/>
  </si>
  <si>
    <t>G</t>
    <phoneticPr fontId="3" type="noConversion"/>
  </si>
  <si>
    <t>6T2P</t>
    <phoneticPr fontId="3" type="noConversion"/>
  </si>
  <si>
    <t>IONIZER</t>
    <phoneticPr fontId="3" type="noConversion"/>
  </si>
  <si>
    <t>IPI-332</t>
    <phoneticPr fontId="3" type="noConversion"/>
  </si>
  <si>
    <t>알람 발생</t>
    <phoneticPr fontId="3" type="noConversion"/>
  </si>
  <si>
    <t>자체</t>
    <phoneticPr fontId="3" type="noConversion"/>
  </si>
  <si>
    <t>정기수</t>
    <phoneticPr fontId="3" type="noConversion"/>
  </si>
  <si>
    <t>1400501528</t>
    <phoneticPr fontId="3" type="noConversion"/>
  </si>
  <si>
    <t>충전 안되는 련상 / 제어부에 TR BD139 out로 보유 TR BD681로 교체</t>
    <phoneticPr fontId="3" type="noConversion"/>
  </si>
  <si>
    <t>Mainboard 교체 및 bios set up</t>
    <phoneticPr fontId="3" type="noConversion"/>
  </si>
  <si>
    <t>2000DA</t>
    <phoneticPr fontId="3" type="noConversion"/>
  </si>
  <si>
    <t>INTERFACE B/D</t>
    <phoneticPr fontId="3" type="noConversion"/>
  </si>
  <si>
    <t>김전욱</t>
    <phoneticPr fontId="3" type="noConversion"/>
  </si>
  <si>
    <t>singuration</t>
    <phoneticPr fontId="3" type="noConversion"/>
  </si>
  <si>
    <t>touch monitor</t>
    <phoneticPr fontId="3" type="noConversion"/>
  </si>
  <si>
    <t>유성학</t>
    <phoneticPr fontId="3" type="noConversion"/>
  </si>
  <si>
    <t>총무</t>
    <phoneticPr fontId="3" type="noConversion"/>
  </si>
  <si>
    <t>speed gate</t>
    <phoneticPr fontId="3" type="noConversion"/>
  </si>
  <si>
    <t>박수호</t>
    <phoneticPr fontId="3" type="noConversion"/>
  </si>
  <si>
    <t>수리완료</t>
    <phoneticPr fontId="3" type="noConversion"/>
  </si>
  <si>
    <t>P</t>
    <phoneticPr fontId="3" type="noConversion"/>
  </si>
  <si>
    <t>1T1P</t>
    <phoneticPr fontId="3" type="noConversion"/>
  </si>
  <si>
    <t>N/A</t>
    <phoneticPr fontId="3" type="noConversion"/>
  </si>
  <si>
    <t>LED BOARD</t>
    <phoneticPr fontId="3" type="noConversion"/>
  </si>
  <si>
    <t>LED 동작 불량</t>
    <phoneticPr fontId="3" type="noConversion"/>
  </si>
  <si>
    <t>자체</t>
    <phoneticPr fontId="3" type="noConversion"/>
  </si>
  <si>
    <t>정기수</t>
    <phoneticPr fontId="3" type="noConversion"/>
  </si>
  <si>
    <t>이지영</t>
    <phoneticPr fontId="3" type="noConversion"/>
  </si>
  <si>
    <t>K4PR</t>
    <phoneticPr fontId="3" type="noConversion"/>
  </si>
  <si>
    <t>L235P-01</t>
    <phoneticPr fontId="3" type="noConversion"/>
  </si>
  <si>
    <t>전원 출력 안됨 / 내부 모든 콘덴서 교체 및 PWM Chip 교체</t>
    <phoneticPr fontId="3" type="noConversion"/>
  </si>
  <si>
    <t>00584361</t>
    <phoneticPr fontId="3" type="noConversion"/>
  </si>
  <si>
    <t>ATP</t>
    <phoneticPr fontId="3" type="noConversion"/>
  </si>
  <si>
    <t>ATP</t>
    <phoneticPr fontId="3" type="noConversion"/>
  </si>
  <si>
    <t>Plasma
Cleaning</t>
  </si>
  <si>
    <t>Reflow
Oven</t>
  </si>
  <si>
    <t>PP</t>
  </si>
  <si>
    <t>YSR-06MF</t>
  </si>
  <si>
    <t>HF-W25F-NOSJ-A-D2</t>
  </si>
  <si>
    <t>Part Number
96822000001</t>
  </si>
  <si>
    <t>ADV-iQ965-IGA</t>
  </si>
  <si>
    <t>KNS PN: 
08001-4327-000-01</t>
  </si>
  <si>
    <t>FBPCB-0358</t>
  </si>
  <si>
    <t>HC2-MB</t>
  </si>
  <si>
    <t>DSB2P131-111E-000H</t>
  </si>
  <si>
    <t>MFC-B2020M-KF007</t>
  </si>
  <si>
    <t>ANFVC-08V2</t>
  </si>
  <si>
    <t>102272128/02</t>
  </si>
  <si>
    <t>No video, Not booting-up.</t>
  </si>
  <si>
    <t>UNABLE TO CONNECT TO ECIM</t>
  </si>
  <si>
    <t>Over current</t>
  </si>
  <si>
    <t>Flickering / distorted image</t>
  </si>
  <si>
    <t>No power light indicates on board</t>
  </si>
  <si>
    <t>Bondhead cannot initialize (No power)</t>
  </si>
  <si>
    <t xml:space="preserve"> VSP-88H</t>
  </si>
  <si>
    <t>XPM5020</t>
  </si>
  <si>
    <t>EAGLE 60
EXTREME</t>
  </si>
  <si>
    <t>DFD631</t>
  </si>
  <si>
    <t>1913 MK3</t>
  </si>
  <si>
    <t>ESEC2100 XP</t>
  </si>
  <si>
    <t>R06S1803-014</t>
  </si>
  <si>
    <t>MFG. NO.
450107-19</t>
  </si>
  <si>
    <t>051202/2</t>
  </si>
  <si>
    <t>T004-029808</t>
  </si>
  <si>
    <t>EPS0357513</t>
  </si>
  <si>
    <t>S372205-BK91023</t>
  </si>
  <si>
    <t>S372205-BK74239</t>
  </si>
  <si>
    <t>17J07021B (G)</t>
  </si>
  <si>
    <t>K0415-023</t>
  </si>
  <si>
    <t>S/N: 000023787</t>
  </si>
  <si>
    <t>S/N: 000024645</t>
  </si>
  <si>
    <t>SN: 160642</t>
  </si>
  <si>
    <t>SN: 1131116050146</t>
  </si>
  <si>
    <t>102272127-04</t>
  </si>
  <si>
    <t>Repeated burnout of Power MOSFET BLF177 2pcs. Maybe Requires OEM calibration.</t>
    <phoneticPr fontId="3" type="noConversion"/>
  </si>
  <si>
    <t>No video, Not booting-up. Defective motherboard BAB740 PMCE</t>
    <phoneticPr fontId="3" type="noConversion"/>
  </si>
  <si>
    <t>Boot-up OK. But unable to continue machine program</t>
    <phoneticPr fontId="3" type="noConversion"/>
  </si>
  <si>
    <t>With power, But no video</t>
    <phoneticPr fontId="3" type="noConversion"/>
  </si>
  <si>
    <t>Bootup problem, Unable to initialize machine</t>
    <phoneticPr fontId="3" type="noConversion"/>
  </si>
  <si>
    <t>HC2 Communication Error. Unable to update driver</t>
    <phoneticPr fontId="3" type="noConversion"/>
  </si>
  <si>
    <t>Driver 및 Setting 문제</t>
    <phoneticPr fontId="3" type="noConversion"/>
  </si>
  <si>
    <t>최금룡</t>
    <phoneticPr fontId="3" type="noConversion"/>
  </si>
  <si>
    <t>D/P</t>
    <phoneticPr fontId="3" type="noConversion"/>
  </si>
  <si>
    <t>SAW</t>
    <phoneticPr fontId="3" type="noConversion"/>
  </si>
  <si>
    <t>SPINDLE INVERTER</t>
    <phoneticPr fontId="3" type="noConversion"/>
  </si>
  <si>
    <t>타는냄새</t>
    <phoneticPr fontId="3" type="noConversion"/>
  </si>
  <si>
    <t>C/M</t>
    <phoneticPr fontId="3" type="noConversion"/>
  </si>
  <si>
    <t xml:space="preserve">Vision Interface Board </t>
  </si>
  <si>
    <t>Initial시 Communication Error</t>
    <phoneticPr fontId="3" type="noConversion"/>
  </si>
  <si>
    <t>현임창</t>
    <phoneticPr fontId="3" type="noConversion"/>
  </si>
  <si>
    <t>UPS</t>
    <phoneticPr fontId="3" type="noConversion"/>
  </si>
  <si>
    <t>SC620</t>
    <phoneticPr fontId="3" type="noConversion"/>
  </si>
  <si>
    <t>허준영</t>
    <phoneticPr fontId="3" type="noConversion"/>
  </si>
  <si>
    <t>장유생</t>
    <phoneticPr fontId="3" type="noConversion"/>
  </si>
  <si>
    <t>iconn la</t>
    <phoneticPr fontId="3" type="noConversion"/>
  </si>
  <si>
    <t>24v low  tdu  bd 수리 fuse out</t>
    <phoneticPr fontId="3" type="noConversion"/>
  </si>
  <si>
    <t>power supply</t>
    <phoneticPr fontId="3" type="noConversion"/>
  </si>
  <si>
    <t>전원 안나옴 / 모든 콘덴서 및 FET 교체</t>
    <phoneticPr fontId="3" type="noConversion"/>
  </si>
  <si>
    <t>00612212</t>
    <phoneticPr fontId="3" type="noConversion"/>
  </si>
  <si>
    <t>이영석</t>
    <phoneticPr fontId="3" type="noConversion"/>
  </si>
  <si>
    <t>정기수</t>
    <phoneticPr fontId="3" type="noConversion"/>
  </si>
  <si>
    <t>pp170a</t>
    <phoneticPr fontId="3" type="noConversion"/>
  </si>
  <si>
    <t>monitor</t>
    <phoneticPr fontId="3" type="noConversion"/>
  </si>
  <si>
    <t>화면 안나옴</t>
    <phoneticPr fontId="3" type="noConversion"/>
  </si>
  <si>
    <t>1430405703</t>
    <phoneticPr fontId="3" type="noConversion"/>
  </si>
  <si>
    <t>1042201682</t>
    <phoneticPr fontId="3" type="noConversion"/>
  </si>
  <si>
    <t>자동화기술</t>
    <phoneticPr fontId="3" type="noConversion"/>
  </si>
  <si>
    <t>CF-DORL8</t>
    <phoneticPr fontId="3" type="noConversion"/>
  </si>
  <si>
    <t>Comfile</t>
    <phoneticPr fontId="3" type="noConversion"/>
  </si>
  <si>
    <t>자동화</t>
    <phoneticPr fontId="3" type="noConversion"/>
  </si>
  <si>
    <t>김치균</t>
    <phoneticPr fontId="3" type="noConversion"/>
  </si>
  <si>
    <t>EE</t>
    <phoneticPr fontId="3" type="noConversion"/>
  </si>
  <si>
    <t>EE2</t>
    <phoneticPr fontId="3" type="noConversion"/>
  </si>
  <si>
    <t>Control Power Supply For LED Light</t>
    <phoneticPr fontId="3" type="noConversion"/>
  </si>
  <si>
    <t>LCP 100DC</t>
    <phoneticPr fontId="3" type="noConversion"/>
  </si>
  <si>
    <t>간헐적 조명 꺼짐</t>
    <phoneticPr fontId="3" type="noConversion"/>
  </si>
  <si>
    <t>허준영</t>
    <phoneticPr fontId="3" type="noConversion"/>
  </si>
  <si>
    <t>이신희</t>
    <phoneticPr fontId="3" type="noConversion"/>
  </si>
  <si>
    <t>ATH-50</t>
    <phoneticPr fontId="3" type="noConversion"/>
  </si>
  <si>
    <t>RF MATCHING</t>
    <phoneticPr fontId="3" type="noConversion"/>
  </si>
  <si>
    <t>김진환</t>
    <phoneticPr fontId="3" type="noConversion"/>
  </si>
  <si>
    <t>N/A</t>
    <phoneticPr fontId="3" type="noConversion"/>
  </si>
  <si>
    <t>UV 장비</t>
    <phoneticPr fontId="3" type="noConversion"/>
  </si>
  <si>
    <t>Fuse Out</t>
    <phoneticPr fontId="3" type="noConversion"/>
  </si>
  <si>
    <t>허준영</t>
    <phoneticPr fontId="3" type="noConversion"/>
  </si>
  <si>
    <t>유철호</t>
    <phoneticPr fontId="3" type="noConversion"/>
  </si>
  <si>
    <t>MR-J4-40A</t>
    <phoneticPr fontId="3" type="noConversion"/>
  </si>
  <si>
    <t>24V 출력 안나옴</t>
    <phoneticPr fontId="3" type="noConversion"/>
  </si>
  <si>
    <t>허준영</t>
    <phoneticPr fontId="3" type="noConversion"/>
  </si>
  <si>
    <t>SY-5EMA+ V1.1</t>
    <phoneticPr fontId="3" type="noConversion"/>
  </si>
  <si>
    <t>error / 수리 완료</t>
    <phoneticPr fontId="3" type="noConversion"/>
  </si>
  <si>
    <t>200500651</t>
    <phoneticPr fontId="3" type="noConversion"/>
  </si>
  <si>
    <t>140701926</t>
    <phoneticPr fontId="3" type="noConversion"/>
  </si>
  <si>
    <t xml:space="preserve">140501529 </t>
  </si>
  <si>
    <t>윤중현</t>
    <phoneticPr fontId="3" type="noConversion"/>
  </si>
  <si>
    <t>XGF-PD2A</t>
    <phoneticPr fontId="3" type="noConversion"/>
  </si>
  <si>
    <t>LS</t>
    <phoneticPr fontId="3" type="noConversion"/>
  </si>
  <si>
    <t>PLC CPU</t>
    <phoneticPr fontId="3" type="noConversion"/>
  </si>
  <si>
    <t>SMT</t>
    <phoneticPr fontId="3" type="noConversion"/>
  </si>
  <si>
    <t>Other</t>
    <phoneticPr fontId="3" type="noConversion"/>
  </si>
  <si>
    <t>Feeder Repair</t>
    <phoneticPr fontId="3" type="noConversion"/>
  </si>
  <si>
    <t>Feeder</t>
    <phoneticPr fontId="3" type="noConversion"/>
  </si>
  <si>
    <t>자체</t>
    <phoneticPr fontId="3" type="noConversion"/>
  </si>
  <si>
    <t>정기수</t>
    <phoneticPr fontId="3" type="noConversion"/>
  </si>
  <si>
    <t>w/b</t>
    <phoneticPr fontId="3" type="noConversion"/>
  </si>
  <si>
    <t>iconn</t>
    <phoneticPr fontId="3" type="noConversion"/>
  </si>
  <si>
    <t xml:space="preserve">54v power module </t>
    <phoneticPr fontId="3" type="noConversion"/>
  </si>
  <si>
    <t>강영구</t>
    <phoneticPr fontId="3" type="noConversion"/>
  </si>
  <si>
    <t>dell PC POWER</t>
    <phoneticPr fontId="3" type="noConversion"/>
  </si>
  <si>
    <t>NA</t>
    <phoneticPr fontId="3" type="noConversion"/>
  </si>
  <si>
    <t xml:space="preserve">김진만 </t>
    <phoneticPr fontId="3" type="noConversion"/>
  </si>
  <si>
    <t>out put out  diode MK: u1j=murs160t3g 3ea out (ultra module 에서 추출 )</t>
    <phoneticPr fontId="3" type="noConversion"/>
  </si>
  <si>
    <t xml:space="preserve">UV </t>
    <phoneticPr fontId="3" type="noConversion"/>
  </si>
  <si>
    <t>출력 안나오는 현상</t>
    <phoneticPr fontId="3" type="noConversion"/>
  </si>
  <si>
    <t>이정우</t>
    <phoneticPr fontId="3" type="noConversion"/>
  </si>
  <si>
    <t>EE</t>
    <phoneticPr fontId="3" type="noConversion"/>
  </si>
  <si>
    <t>EE2</t>
    <phoneticPr fontId="3" type="noConversion"/>
  </si>
  <si>
    <t>C/A</t>
    <phoneticPr fontId="3" type="noConversion"/>
  </si>
  <si>
    <t>Quantum 8800</t>
    <phoneticPr fontId="3" type="noConversion"/>
  </si>
  <si>
    <t>Mini SMC Board</t>
    <phoneticPr fontId="3" type="noConversion"/>
  </si>
  <si>
    <t>Connector 교체</t>
    <phoneticPr fontId="3" type="noConversion"/>
  </si>
  <si>
    <t>허준영</t>
    <phoneticPr fontId="3" type="noConversion"/>
  </si>
  <si>
    <t>신소안</t>
    <phoneticPr fontId="3" type="noConversion"/>
  </si>
  <si>
    <t>19MB35PB</t>
    <phoneticPr fontId="3" type="noConversion"/>
  </si>
  <si>
    <t>24MP77SM</t>
    <phoneticPr fontId="3" type="noConversion"/>
  </si>
  <si>
    <t xml:space="preserve">화면 수리 </t>
    <phoneticPr fontId="3" type="noConversion"/>
  </si>
  <si>
    <t>601NTTQFT217</t>
    <phoneticPr fontId="3" type="noConversion"/>
  </si>
  <si>
    <t>707NTBK43541</t>
    <phoneticPr fontId="3" type="noConversion"/>
  </si>
  <si>
    <t>고규식</t>
    <phoneticPr fontId="3" type="noConversion"/>
  </si>
  <si>
    <t>수리완료</t>
    <phoneticPr fontId="3" type="noConversion"/>
  </si>
  <si>
    <t>EE</t>
    <phoneticPr fontId="3" type="noConversion"/>
  </si>
  <si>
    <t>EE1</t>
    <phoneticPr fontId="3" type="noConversion"/>
  </si>
  <si>
    <t>TCNCP</t>
    <phoneticPr fontId="3" type="noConversion"/>
  </si>
  <si>
    <t>UPS</t>
    <phoneticPr fontId="3" type="noConversion"/>
  </si>
  <si>
    <t>DL5115</t>
    <phoneticPr fontId="3" type="noConversion"/>
  </si>
  <si>
    <t>배터리방전</t>
    <phoneticPr fontId="3" type="noConversion"/>
  </si>
  <si>
    <t>자체</t>
    <phoneticPr fontId="3" type="noConversion"/>
  </si>
  <si>
    <t>정기수</t>
    <phoneticPr fontId="3" type="noConversion"/>
  </si>
  <si>
    <t>KSA-1210KV</t>
    <phoneticPr fontId="3" type="noConversion"/>
  </si>
  <si>
    <t>아답터</t>
    <phoneticPr fontId="3" type="noConversion"/>
  </si>
  <si>
    <t>전원 불안정 / 내부 콘덴서 교체</t>
    <phoneticPr fontId="3" type="noConversion"/>
  </si>
  <si>
    <t>SMT</t>
    <phoneticPr fontId="3" type="noConversion"/>
  </si>
  <si>
    <t>박종현</t>
    <phoneticPr fontId="3" type="noConversion"/>
  </si>
  <si>
    <t>YASKAWA</t>
    <phoneticPr fontId="3" type="noConversion"/>
  </si>
  <si>
    <t>SERVO DRIVER</t>
    <phoneticPr fontId="3" type="noConversion"/>
  </si>
  <si>
    <t>SGDV-R90A11A</t>
    <phoneticPr fontId="3" type="noConversion"/>
  </si>
  <si>
    <t>자체</t>
    <phoneticPr fontId="3" type="noConversion"/>
  </si>
  <si>
    <t>정기수</t>
    <phoneticPr fontId="3" type="noConversion"/>
  </si>
  <si>
    <t>monitor</t>
    <phoneticPr fontId="3" type="noConversion"/>
  </si>
  <si>
    <t>sl150</t>
    <phoneticPr fontId="3" type="noConversion"/>
  </si>
  <si>
    <t>빽라이트 교체</t>
    <phoneticPr fontId="3" type="noConversion"/>
  </si>
  <si>
    <t>ipi-322</t>
    <phoneticPr fontId="3" type="noConversion"/>
  </si>
  <si>
    <t>ion 값 불량</t>
    <phoneticPr fontId="3" type="noConversion"/>
  </si>
  <si>
    <t>자체</t>
    <phoneticPr fontId="3" type="noConversion"/>
  </si>
  <si>
    <t>정기수</t>
    <phoneticPr fontId="3" type="noConversion"/>
  </si>
  <si>
    <t>ionizer</t>
    <phoneticPr fontId="3" type="noConversion"/>
  </si>
  <si>
    <t>simco</t>
    <phoneticPr fontId="3" type="noConversion"/>
  </si>
  <si>
    <t>B</t>
    <phoneticPr fontId="3" type="noConversion"/>
  </si>
  <si>
    <t>2T1P</t>
    <phoneticPr fontId="3" type="noConversion"/>
  </si>
  <si>
    <t>MONITOR</t>
    <phoneticPr fontId="3" type="noConversion"/>
  </si>
  <si>
    <t>윤원준</t>
    <phoneticPr fontId="3" type="noConversion"/>
  </si>
  <si>
    <t>수리완료</t>
    <phoneticPr fontId="3" type="noConversion"/>
  </si>
  <si>
    <t>PP170A</t>
    <phoneticPr fontId="3" type="noConversion"/>
  </si>
  <si>
    <t>화면어두움</t>
    <phoneticPr fontId="3" type="noConversion"/>
  </si>
  <si>
    <t>자체</t>
    <phoneticPr fontId="3" type="noConversion"/>
  </si>
  <si>
    <t>정기수</t>
    <phoneticPr fontId="3" type="noConversion"/>
  </si>
  <si>
    <t>ten key</t>
    <phoneticPr fontId="3" type="noConversion"/>
  </si>
  <si>
    <t>I/O B/D</t>
    <phoneticPr fontId="3" type="noConversion"/>
  </si>
  <si>
    <t>F/C</t>
    <phoneticPr fontId="3" type="noConversion"/>
  </si>
  <si>
    <t xml:space="preserve">DPS6200FC YASKAWA </t>
    <phoneticPr fontId="3" type="noConversion"/>
  </si>
  <si>
    <t xml:space="preserve">A F10 A710 발생 A---은 error 정상임 </t>
    <phoneticPr fontId="3" type="noConversion"/>
  </si>
  <si>
    <t>터치불량</t>
    <phoneticPr fontId="3" type="noConversion"/>
  </si>
  <si>
    <t>최정석</t>
    <phoneticPr fontId="3" type="noConversion"/>
  </si>
  <si>
    <t>scope</t>
    <phoneticPr fontId="3" type="noConversion"/>
  </si>
  <si>
    <t>power supply</t>
    <phoneticPr fontId="3" type="noConversion"/>
  </si>
  <si>
    <t>U/F</t>
    <phoneticPr fontId="3" type="noConversion"/>
  </si>
  <si>
    <t>이진곤</t>
    <phoneticPr fontId="3" type="noConversion"/>
  </si>
  <si>
    <t>PRS-800</t>
    <phoneticPr fontId="3" type="noConversion"/>
  </si>
  <si>
    <t>MEGOHMMETER</t>
    <phoneticPr fontId="3" type="noConversion"/>
  </si>
  <si>
    <t>이상 동작 / 로터리 스위치 크리닝 조립</t>
    <phoneticPr fontId="3" type="noConversion"/>
  </si>
  <si>
    <t>PS0528</t>
    <phoneticPr fontId="3" type="noConversion"/>
  </si>
  <si>
    <t>김선일</t>
    <phoneticPr fontId="3" type="noConversion"/>
  </si>
  <si>
    <t>E1 에러</t>
    <phoneticPr fontId="3" type="noConversion"/>
  </si>
  <si>
    <t>홍학선</t>
    <phoneticPr fontId="3" type="noConversion"/>
  </si>
  <si>
    <t>matrox box</t>
  </si>
  <si>
    <t xml:space="preserve">cu matrox box </t>
    <phoneticPr fontId="3" type="noConversion"/>
  </si>
  <si>
    <t>booting 멈춤  sw</t>
    <phoneticPr fontId="3" type="noConversion"/>
  </si>
  <si>
    <t xml:space="preserve">ram error </t>
    <phoneticPr fontId="3" type="noConversion"/>
  </si>
  <si>
    <t>이신희</t>
    <phoneticPr fontId="3" type="noConversion"/>
  </si>
  <si>
    <t>K&amp;S Iconn</t>
    <phoneticPr fontId="3" type="noConversion"/>
  </si>
  <si>
    <t xml:space="preserve">power supply </t>
    <phoneticPr fontId="3" type="noConversion"/>
  </si>
  <si>
    <t>power down 됨/57V MODULE CHANGE</t>
    <phoneticPr fontId="3" type="noConversion"/>
  </si>
  <si>
    <t>김선일</t>
    <phoneticPr fontId="3" type="noConversion"/>
  </si>
  <si>
    <t>김현만</t>
    <phoneticPr fontId="3" type="noConversion"/>
  </si>
  <si>
    <t>ProBook 4515</t>
    <phoneticPr fontId="3" type="noConversion"/>
  </si>
  <si>
    <t>SrnsR530</t>
    <phoneticPr fontId="3" type="noConversion"/>
  </si>
  <si>
    <t>패널 out</t>
    <phoneticPr fontId="3" type="noConversion"/>
  </si>
  <si>
    <t>메인보드 팬 out로 분해 크리닝 후 제조립</t>
    <phoneticPr fontId="3" type="noConversion"/>
  </si>
  <si>
    <t>패널 out로 패널 구매 교체</t>
    <phoneticPr fontId="3" type="noConversion"/>
  </si>
  <si>
    <t>ZUTL93BZ700322J</t>
    <phoneticPr fontId="3" type="noConversion"/>
  </si>
  <si>
    <t>CNU0222YHF</t>
    <phoneticPr fontId="3" type="noConversion"/>
  </si>
  <si>
    <t>김선일</t>
    <phoneticPr fontId="3" type="noConversion"/>
  </si>
  <si>
    <t>변동성</t>
    <phoneticPr fontId="3" type="noConversion"/>
  </si>
  <si>
    <t>C</t>
    <phoneticPr fontId="3" type="noConversion"/>
  </si>
  <si>
    <t>ESD Checker</t>
    <phoneticPr fontId="3" type="noConversion"/>
  </si>
  <si>
    <t>N/A</t>
    <phoneticPr fontId="3" type="noConversion"/>
  </si>
  <si>
    <t>누전 발생</t>
    <phoneticPr fontId="3" type="noConversion"/>
  </si>
  <si>
    <t>허준영</t>
    <phoneticPr fontId="3" type="noConversion"/>
  </si>
  <si>
    <t>장은철</t>
    <phoneticPr fontId="3" type="noConversion"/>
  </si>
  <si>
    <t>정기수</t>
    <phoneticPr fontId="3" type="noConversion"/>
  </si>
  <si>
    <t>손대희</t>
    <phoneticPr fontId="3" type="noConversion"/>
  </si>
  <si>
    <t>TTX674</t>
    <phoneticPr fontId="3" type="noConversion"/>
  </si>
  <si>
    <t>Lable</t>
    <phoneticPr fontId="3" type="noConversion"/>
  </si>
  <si>
    <t>디에이테크</t>
  </si>
  <si>
    <t>김종한</t>
    <phoneticPr fontId="3" type="noConversion"/>
  </si>
  <si>
    <t>Ball PNP</t>
    <phoneticPr fontId="3" type="noConversion"/>
  </si>
  <si>
    <t>PANASONIC</t>
    <phoneticPr fontId="3" type="noConversion"/>
  </si>
  <si>
    <t>MKDET1505P</t>
    <phoneticPr fontId="3" type="noConversion"/>
  </si>
  <si>
    <t>서대혁</t>
    <phoneticPr fontId="3" type="noConversion"/>
  </si>
  <si>
    <t>Semisys</t>
    <phoneticPr fontId="3" type="noConversion"/>
  </si>
  <si>
    <t>HEATER CONTROLLER</t>
    <phoneticPr fontId="3" type="noConversion"/>
  </si>
  <si>
    <t>한광식</t>
    <phoneticPr fontId="3" type="noConversion"/>
  </si>
  <si>
    <t>FC</t>
    <phoneticPr fontId="3" type="noConversion"/>
  </si>
  <si>
    <t>ASD12A-C</t>
    <phoneticPr fontId="3" type="noConversion"/>
  </si>
  <si>
    <t xml:space="preserve">STEP MOTOR DRIVER </t>
    <phoneticPr fontId="3" type="noConversion"/>
  </si>
  <si>
    <t xml:space="preserve">ASD12A-C ASD12C-C power 호환성  TEST중 </t>
    <phoneticPr fontId="3" type="noConversion"/>
  </si>
  <si>
    <t xml:space="preserve">Matrox </t>
    <phoneticPr fontId="3" type="noConversion"/>
  </si>
  <si>
    <t>OMRON</t>
    <phoneticPr fontId="3" type="noConversion"/>
  </si>
  <si>
    <t>CVM1-PA208</t>
    <phoneticPr fontId="3" type="noConversion"/>
  </si>
  <si>
    <t>SS-3054D</t>
    <phoneticPr fontId="3" type="noConversion"/>
  </si>
  <si>
    <t>Office PC</t>
    <phoneticPr fontId="3" type="noConversion"/>
  </si>
  <si>
    <t>OPTIPLEX7010</t>
    <phoneticPr fontId="3" type="noConversion"/>
  </si>
  <si>
    <t>전압 표시부</t>
    <phoneticPr fontId="3" type="noConversion"/>
  </si>
  <si>
    <t>파워 &amp; 팬</t>
    <phoneticPr fontId="3" type="noConversion"/>
  </si>
  <si>
    <t>전원부와 케이스 팬 수리</t>
    <phoneticPr fontId="3" type="noConversion"/>
  </si>
  <si>
    <t>전압 표시에 FND 교체 및 전원 스위치 교체</t>
    <phoneticPr fontId="3" type="noConversion"/>
  </si>
  <si>
    <t>안세왕</t>
    <phoneticPr fontId="3" type="noConversion"/>
  </si>
  <si>
    <t>sgdv-7r6a15a</t>
    <phoneticPr fontId="3" type="noConversion"/>
  </si>
  <si>
    <t>전원 안들어옴</t>
    <phoneticPr fontId="3" type="noConversion"/>
  </si>
  <si>
    <t>강영구</t>
    <phoneticPr fontId="3" type="noConversion"/>
  </si>
  <si>
    <t>N/A</t>
    <phoneticPr fontId="3" type="noConversion"/>
  </si>
  <si>
    <t>DELL POWER</t>
    <phoneticPr fontId="3" type="noConversion"/>
  </si>
  <si>
    <t xml:space="preserve">STANBY 5V 불량 </t>
    <phoneticPr fontId="3" type="noConversion"/>
  </si>
  <si>
    <t>한광식</t>
    <phoneticPr fontId="3" type="noConversion"/>
  </si>
  <si>
    <t>AJINEXTEK</t>
    <phoneticPr fontId="3" type="noConversion"/>
  </si>
  <si>
    <t>SMC-2V02</t>
    <phoneticPr fontId="3" type="noConversion"/>
  </si>
  <si>
    <t>남형주</t>
    <phoneticPr fontId="3" type="noConversion"/>
  </si>
  <si>
    <t>수리완료</t>
    <phoneticPr fontId="3" type="noConversion"/>
  </si>
  <si>
    <t>K5</t>
    <phoneticPr fontId="3" type="noConversion"/>
  </si>
  <si>
    <t>MONITOR</t>
    <phoneticPr fontId="3" type="noConversion"/>
  </si>
  <si>
    <t>DISCO</t>
    <phoneticPr fontId="3" type="noConversion"/>
  </si>
  <si>
    <t>전원 안들어옴</t>
    <phoneticPr fontId="3" type="noConversion"/>
  </si>
  <si>
    <t>자체</t>
    <phoneticPr fontId="3" type="noConversion"/>
  </si>
  <si>
    <t>정기수</t>
    <phoneticPr fontId="3" type="noConversion"/>
  </si>
  <si>
    <t>e-sim</t>
    <phoneticPr fontId="3" type="noConversion"/>
  </si>
  <si>
    <t>LS PLC CPU</t>
    <phoneticPr fontId="3" type="noConversion"/>
  </si>
  <si>
    <t>이성문</t>
    <phoneticPr fontId="3" type="noConversion"/>
  </si>
  <si>
    <t>DIO CAN B/D</t>
    <phoneticPr fontId="3" type="noConversion"/>
  </si>
  <si>
    <t>정덕우</t>
    <phoneticPr fontId="3" type="noConversion"/>
  </si>
  <si>
    <t>MEGATRON</t>
    <phoneticPr fontId="3" type="noConversion"/>
  </si>
  <si>
    <t>Joystick</t>
    <phoneticPr fontId="3" type="noConversion"/>
  </si>
  <si>
    <t>통신</t>
    <phoneticPr fontId="3" type="noConversion"/>
  </si>
  <si>
    <t>CP-PWR-CUBE-3</t>
    <phoneticPr fontId="3" type="noConversion"/>
  </si>
  <si>
    <t>전원 안나옴 / 내부 콘덴서 교체 및 선 교체</t>
    <phoneticPr fontId="3" type="noConversion"/>
  </si>
  <si>
    <t>341-0206-03 B0</t>
    <phoneticPr fontId="3" type="noConversion"/>
  </si>
  <si>
    <t>임현대</t>
    <phoneticPr fontId="3" type="noConversion"/>
  </si>
  <si>
    <t>원격 장비 설치</t>
    <phoneticPr fontId="3" type="noConversion"/>
  </si>
  <si>
    <t>SPR/NR/B Room</t>
    <phoneticPr fontId="3" type="noConversion"/>
  </si>
  <si>
    <t>이행원</t>
    <phoneticPr fontId="3" type="noConversion"/>
  </si>
  <si>
    <t>ASD12C-C</t>
    <phoneticPr fontId="3" type="noConversion"/>
  </si>
  <si>
    <t xml:space="preserve">STEP MOTOR DRIVER </t>
    <phoneticPr fontId="3" type="noConversion"/>
  </si>
  <si>
    <t xml:space="preserve">error ON </t>
    <phoneticPr fontId="3" type="noConversion"/>
  </si>
  <si>
    <t>바코드</t>
    <phoneticPr fontId="3" type="noConversion"/>
  </si>
  <si>
    <t>Boot Fail</t>
    <phoneticPr fontId="3" type="noConversion"/>
  </si>
  <si>
    <t xml:space="preserve">한광식 </t>
    <phoneticPr fontId="3" type="noConversion"/>
  </si>
  <si>
    <t>정경희</t>
    <phoneticPr fontId="3" type="noConversion"/>
  </si>
  <si>
    <t>핀크리닝 브러쉬 및 error / 상측커버 3개 하즉 센서 3개 핀케이블 6개</t>
    <phoneticPr fontId="3" type="noConversion"/>
  </si>
  <si>
    <t>140701922</t>
    <phoneticPr fontId="3" type="noConversion"/>
  </si>
  <si>
    <t>Spark X</t>
    <phoneticPr fontId="3" type="noConversion"/>
  </si>
  <si>
    <t>블랙박스</t>
    <phoneticPr fontId="3" type="noConversion"/>
  </si>
  <si>
    <t>홍복희</t>
    <phoneticPr fontId="3" type="noConversion"/>
  </si>
  <si>
    <t>노동록</t>
    <phoneticPr fontId="3" type="noConversion"/>
  </si>
  <si>
    <t>TCNCP</t>
    <phoneticPr fontId="3" type="noConversion"/>
  </si>
  <si>
    <t>proface</t>
    <phoneticPr fontId="3" type="noConversion"/>
  </si>
  <si>
    <t>C12034</t>
    <phoneticPr fontId="3" type="noConversion"/>
  </si>
  <si>
    <t>충전 드릴</t>
    <phoneticPr fontId="3" type="noConversion"/>
  </si>
  <si>
    <t>충전기</t>
    <phoneticPr fontId="3" type="noConversion"/>
  </si>
  <si>
    <t>작동 불량 / 내부 인트로 콘덴서 배선 파송으로 연결</t>
    <phoneticPr fontId="3" type="noConversion"/>
  </si>
  <si>
    <t>01441</t>
    <phoneticPr fontId="3" type="noConversion"/>
  </si>
  <si>
    <t>이성학</t>
    <phoneticPr fontId="3" type="noConversion"/>
  </si>
  <si>
    <t>유창환</t>
    <phoneticPr fontId="3" type="noConversion"/>
  </si>
  <si>
    <t>mold</t>
    <phoneticPr fontId="3" type="noConversion"/>
  </si>
  <si>
    <t>towa</t>
    <phoneticPr fontId="3" type="noConversion"/>
  </si>
  <si>
    <t>yaskawa driver sgda- 01as</t>
    <phoneticPr fontId="3" type="noConversion"/>
  </si>
  <si>
    <t xml:space="preserve">전원 불량 </t>
    <phoneticPr fontId="3" type="noConversion"/>
  </si>
  <si>
    <t>COM BOADER</t>
    <phoneticPr fontId="3" type="noConversion"/>
  </si>
  <si>
    <t>콘넥터 보드</t>
    <phoneticPr fontId="3" type="noConversion"/>
  </si>
  <si>
    <t>내부 퓨즈 out로 교체</t>
    <phoneticPr fontId="3" type="noConversion"/>
  </si>
  <si>
    <t>Plasma Cleaning</t>
    <phoneticPr fontId="3" type="noConversion"/>
  </si>
  <si>
    <t>Quntum</t>
    <phoneticPr fontId="3" type="noConversion"/>
  </si>
  <si>
    <t>1770NX</t>
    <phoneticPr fontId="3" type="noConversion"/>
  </si>
  <si>
    <t>화면 안나옴 / 내부 모든 콘덴서 교체</t>
    <phoneticPr fontId="3" type="noConversion"/>
  </si>
  <si>
    <t xml:space="preserve">yaskawa driver sigma win 5.73 </t>
    <phoneticPr fontId="3" type="noConversion"/>
  </si>
  <si>
    <t xml:space="preserve"> </t>
    <phoneticPr fontId="3" type="noConversion"/>
  </si>
  <si>
    <t>6v solenoid controller</t>
    <phoneticPr fontId="3" type="noConversion"/>
  </si>
  <si>
    <t xml:space="preserve"> cotroller&amp; adpter수리  </t>
    <phoneticPr fontId="3" type="noConversion"/>
  </si>
  <si>
    <t xml:space="preserve"> sigma win 5.73  cable 제작 &amp;인스톨  두버전 동시 안깔림 ver 7.03</t>
    <phoneticPr fontId="3" type="noConversion"/>
  </si>
  <si>
    <t>정문 보안실</t>
    <phoneticPr fontId="3" type="noConversion"/>
  </si>
  <si>
    <t>CCTV</t>
    <phoneticPr fontId="3" type="noConversion"/>
  </si>
  <si>
    <t>DVR # 10</t>
    <phoneticPr fontId="3" type="noConversion"/>
  </si>
  <si>
    <t>점검 및 수리 완료 하여 장착</t>
    <phoneticPr fontId="3" type="noConversion"/>
  </si>
  <si>
    <t>Power Supply Out으로 인한 전원 안들어오는 증상</t>
    <phoneticPr fontId="3" type="noConversion"/>
  </si>
  <si>
    <t>PA1015-053HKB</t>
    <phoneticPr fontId="3" type="noConversion"/>
  </si>
  <si>
    <t>박형우</t>
    <phoneticPr fontId="3" type="noConversion"/>
  </si>
  <si>
    <t>PG300RM</t>
    <phoneticPr fontId="3" type="noConversion"/>
  </si>
  <si>
    <t>Main PC Prox</t>
    <phoneticPr fontId="3" type="noConversion"/>
  </si>
  <si>
    <t>전원 안나옴 / SMPS 모든 콘덴서 교체</t>
    <phoneticPr fontId="3" type="noConversion"/>
  </si>
  <si>
    <t>E29-08243337</t>
    <phoneticPr fontId="3" type="noConversion"/>
  </si>
  <si>
    <t>Wire Bonding</t>
    <phoneticPr fontId="3" type="noConversion"/>
  </si>
  <si>
    <t>박동진</t>
    <phoneticPr fontId="3" type="noConversion"/>
  </si>
  <si>
    <t>수리완료</t>
    <phoneticPr fontId="3" type="noConversion"/>
  </si>
  <si>
    <t>CCTV</t>
    <phoneticPr fontId="3" type="noConversion"/>
  </si>
  <si>
    <t>MONITOR</t>
    <phoneticPr fontId="3" type="noConversion"/>
  </si>
  <si>
    <t>전원 안들어옴</t>
    <phoneticPr fontId="3" type="noConversion"/>
  </si>
  <si>
    <t>자체</t>
    <phoneticPr fontId="3" type="noConversion"/>
  </si>
  <si>
    <t>정기수</t>
    <phoneticPr fontId="3" type="noConversion"/>
  </si>
  <si>
    <t>Brother BL-3000</t>
    <phoneticPr fontId="3" type="noConversion"/>
  </si>
  <si>
    <t>테이프에 인쇄 안됨 / 앞쪽 로울러 위치 어긋나 수정 조립</t>
    <phoneticPr fontId="3" type="noConversion"/>
  </si>
  <si>
    <t>통신 X S/W 재설치</t>
    <phoneticPr fontId="3" type="noConversion"/>
  </si>
  <si>
    <t>PLASMA#11</t>
    <phoneticPr fontId="3" type="noConversion"/>
  </si>
  <si>
    <t>신정민</t>
    <phoneticPr fontId="3" type="noConversion"/>
  </si>
  <si>
    <t>Motion Board OUT</t>
    <phoneticPr fontId="3" type="noConversion"/>
  </si>
  <si>
    <t>배기범</t>
    <phoneticPr fontId="3" type="noConversion"/>
  </si>
  <si>
    <t>PNP</t>
    <phoneticPr fontId="3" type="noConversion"/>
  </si>
  <si>
    <t xml:space="preserve">STI </t>
    <phoneticPr fontId="3" type="noConversion"/>
  </si>
  <si>
    <t>PCI B/D</t>
    <phoneticPr fontId="3" type="noConversion"/>
  </si>
  <si>
    <t>Booting error</t>
    <phoneticPr fontId="3" type="noConversion"/>
  </si>
  <si>
    <t>Power 안들어옴</t>
    <phoneticPr fontId="3" type="noConversion"/>
  </si>
  <si>
    <t>VSF150-24</t>
    <phoneticPr fontId="3" type="noConversion"/>
  </si>
  <si>
    <t xml:space="preserve">SMPS </t>
    <phoneticPr fontId="3" type="noConversion"/>
  </si>
  <si>
    <t>W100901189</t>
    <phoneticPr fontId="3" type="noConversion"/>
  </si>
  <si>
    <t>K&amp;S Iconn PLUS PROCU</t>
    <phoneticPr fontId="3" type="noConversion"/>
  </si>
  <si>
    <t>김현만</t>
    <phoneticPr fontId="3" type="noConversion"/>
  </si>
  <si>
    <t>MITSUBISHI</t>
    <phoneticPr fontId="3" type="noConversion"/>
  </si>
  <si>
    <t>MR-J2S-10A</t>
    <phoneticPr fontId="3" type="noConversion"/>
  </si>
  <si>
    <t>김정우</t>
    <phoneticPr fontId="3" type="noConversion"/>
  </si>
  <si>
    <t>2004교체</t>
    <phoneticPr fontId="3" type="noConversion"/>
  </si>
  <si>
    <t>서대혁</t>
    <phoneticPr fontId="3" type="noConversion"/>
  </si>
  <si>
    <t>SMT</t>
    <phoneticPr fontId="3" type="noConversion"/>
  </si>
  <si>
    <t>수리완료</t>
    <phoneticPr fontId="3" type="noConversion"/>
  </si>
  <si>
    <t>B</t>
    <phoneticPr fontId="3" type="noConversion"/>
  </si>
  <si>
    <t>2T1P</t>
    <phoneticPr fontId="3" type="noConversion"/>
  </si>
  <si>
    <t>Ionizer 설치</t>
    <phoneticPr fontId="3" type="noConversion"/>
  </si>
  <si>
    <t>N/A</t>
    <phoneticPr fontId="3" type="noConversion"/>
  </si>
  <si>
    <t>SMT LINE IONIZER 설치 지원</t>
    <phoneticPr fontId="3" type="noConversion"/>
  </si>
  <si>
    <t>자체</t>
    <phoneticPr fontId="3" type="noConversion"/>
  </si>
  <si>
    <t>정기수</t>
    <phoneticPr fontId="3" type="noConversion"/>
  </si>
  <si>
    <t>허준영</t>
    <phoneticPr fontId="3" type="noConversion"/>
  </si>
  <si>
    <t>강영구</t>
    <phoneticPr fontId="3" type="noConversion"/>
  </si>
  <si>
    <t>N/A</t>
    <phoneticPr fontId="3" type="noConversion"/>
  </si>
  <si>
    <t>PC DEL</t>
    <phoneticPr fontId="3" type="noConversion"/>
  </si>
  <si>
    <t xml:space="preserve">전자실 LAY OUT중  PC BOOTING FAIL  POWER 교체 </t>
    <phoneticPr fontId="3" type="noConversion"/>
  </si>
  <si>
    <t>변태운</t>
    <phoneticPr fontId="3" type="noConversion"/>
  </si>
  <si>
    <t xml:space="preserve">yaskawa SERVO </t>
    <phoneticPr fontId="3" type="noConversion"/>
  </si>
  <si>
    <t>SGDV-1R67A010</t>
    <phoneticPr fontId="3" type="noConversion"/>
  </si>
  <si>
    <t xml:space="preserve">ERROR 710 &amp;DISPLAY 안됨 </t>
    <phoneticPr fontId="3" type="noConversion"/>
  </si>
  <si>
    <t>김재영</t>
    <phoneticPr fontId="3" type="noConversion"/>
  </si>
  <si>
    <t>SSP SOLDER</t>
    <phoneticPr fontId="3" type="noConversion"/>
  </si>
  <si>
    <t xml:space="preserve">EZI SERVO </t>
    <phoneticPr fontId="3" type="noConversion"/>
  </si>
  <si>
    <t>EZS-PD-42L-A-D</t>
    <phoneticPr fontId="3" type="noConversion"/>
  </si>
  <si>
    <t>ERROR 12 ROM PARA ER</t>
    <phoneticPr fontId="3" type="noConversion"/>
  </si>
  <si>
    <t>김현만</t>
    <phoneticPr fontId="3" type="noConversion"/>
  </si>
  <si>
    <t>U/F</t>
    <phoneticPr fontId="3" type="noConversion"/>
  </si>
  <si>
    <t>NOTE BOOK</t>
    <phoneticPr fontId="3" type="noConversion"/>
  </si>
  <si>
    <t>SENSE R530</t>
    <phoneticPr fontId="3" type="noConversion"/>
  </si>
  <si>
    <t>Recovory</t>
    <phoneticPr fontId="3" type="noConversion"/>
  </si>
  <si>
    <t>CPU Board Install 안됨</t>
    <phoneticPr fontId="3" type="noConversion"/>
  </si>
  <si>
    <t>전원 안 나옴 /패턴 파손으로 폐기</t>
    <phoneticPr fontId="3" type="noConversion"/>
  </si>
  <si>
    <t>F100332132</t>
    <phoneticPr fontId="3" type="noConversion"/>
  </si>
  <si>
    <t>김정훈</t>
    <phoneticPr fontId="3" type="noConversion"/>
  </si>
  <si>
    <t>수리완료</t>
    <phoneticPr fontId="3" type="noConversion"/>
  </si>
  <si>
    <t>B</t>
    <phoneticPr fontId="3" type="noConversion"/>
  </si>
  <si>
    <t>2T3P</t>
    <phoneticPr fontId="3" type="noConversion"/>
  </si>
  <si>
    <t>IPI-322</t>
    <phoneticPr fontId="3" type="noConversion"/>
  </si>
  <si>
    <t>자체</t>
    <phoneticPr fontId="3" type="noConversion"/>
  </si>
  <si>
    <t>정기수</t>
    <phoneticPr fontId="3" type="noConversion"/>
  </si>
  <si>
    <t>김진만</t>
    <phoneticPr fontId="3" type="noConversion"/>
  </si>
  <si>
    <t>171101952</t>
    <phoneticPr fontId="3" type="noConversion"/>
  </si>
  <si>
    <t>알람</t>
    <phoneticPr fontId="3" type="noConversion"/>
  </si>
  <si>
    <t>171001815</t>
    <phoneticPr fontId="3" type="noConversion"/>
  </si>
  <si>
    <t>김선일</t>
    <phoneticPr fontId="3" type="noConversion"/>
  </si>
  <si>
    <t>김경철</t>
    <phoneticPr fontId="3" type="noConversion"/>
  </si>
  <si>
    <t>수리완료</t>
    <phoneticPr fontId="3" type="noConversion"/>
  </si>
  <si>
    <t>QA</t>
    <phoneticPr fontId="3" type="noConversion"/>
  </si>
  <si>
    <t>SIMCO</t>
    <phoneticPr fontId="3" type="noConversion"/>
  </si>
  <si>
    <t>알람</t>
    <phoneticPr fontId="3" type="noConversion"/>
  </si>
  <si>
    <t>*044540094242560</t>
    <phoneticPr fontId="3" type="noConversion"/>
  </si>
  <si>
    <t>자체</t>
    <phoneticPr fontId="3" type="noConversion"/>
  </si>
  <si>
    <t>정기수</t>
    <phoneticPr fontId="3" type="noConversion"/>
  </si>
  <si>
    <t>노동록</t>
    <phoneticPr fontId="3" type="noConversion"/>
  </si>
  <si>
    <t>C</t>
    <phoneticPr fontId="3" type="noConversion"/>
  </si>
  <si>
    <t>3T4P</t>
    <phoneticPr fontId="3" type="noConversion"/>
  </si>
  <si>
    <t>IPI-322</t>
    <phoneticPr fontId="3" type="noConversion"/>
  </si>
  <si>
    <t>ION값 불량</t>
    <phoneticPr fontId="3" type="noConversion"/>
  </si>
  <si>
    <t>150500878</t>
    <phoneticPr fontId="3" type="noConversion"/>
  </si>
  <si>
    <t>K3P-07AS</t>
  </si>
  <si>
    <t>이행원</t>
    <phoneticPr fontId="3" type="noConversion"/>
  </si>
  <si>
    <t>MR-J2S-20A</t>
    <phoneticPr fontId="3" type="noConversion"/>
  </si>
  <si>
    <t>김재영</t>
    <phoneticPr fontId="3" type="noConversion"/>
  </si>
  <si>
    <t>수리완료</t>
    <phoneticPr fontId="3" type="noConversion"/>
  </si>
  <si>
    <t>A</t>
    <phoneticPr fontId="3" type="noConversion"/>
  </si>
  <si>
    <t>1T3P</t>
    <phoneticPr fontId="3" type="noConversion"/>
  </si>
  <si>
    <t>IPI-332</t>
    <phoneticPr fontId="3" type="noConversion"/>
  </si>
  <si>
    <t>ION값 불량</t>
    <phoneticPr fontId="3" type="noConversion"/>
  </si>
  <si>
    <t>170901691</t>
    <phoneticPr fontId="3" type="noConversion"/>
  </si>
  <si>
    <t>자체</t>
    <phoneticPr fontId="3" type="noConversion"/>
  </si>
  <si>
    <t>정기수</t>
    <phoneticPr fontId="3" type="noConversion"/>
  </si>
  <si>
    <t>이영석</t>
    <phoneticPr fontId="3" type="noConversion"/>
  </si>
  <si>
    <t>수리완료</t>
    <phoneticPr fontId="3" type="noConversion"/>
  </si>
  <si>
    <t>F</t>
    <phoneticPr fontId="3" type="noConversion"/>
  </si>
  <si>
    <t>5T1P</t>
    <phoneticPr fontId="3" type="noConversion"/>
  </si>
  <si>
    <t>IPI-322</t>
    <phoneticPr fontId="3" type="noConversion"/>
  </si>
  <si>
    <t>알람</t>
    <phoneticPr fontId="3" type="noConversion"/>
  </si>
  <si>
    <t>170100092</t>
    <phoneticPr fontId="3" type="noConversion"/>
  </si>
  <si>
    <t>수리완료</t>
    <phoneticPr fontId="3" type="noConversion"/>
  </si>
  <si>
    <t>B</t>
    <phoneticPr fontId="3" type="noConversion"/>
  </si>
  <si>
    <t>2T1P</t>
    <phoneticPr fontId="3" type="noConversion"/>
  </si>
  <si>
    <t>IPI-322</t>
    <phoneticPr fontId="3" type="noConversion"/>
  </si>
  <si>
    <t>알람</t>
    <phoneticPr fontId="3" type="noConversion"/>
  </si>
  <si>
    <t>200500622</t>
    <phoneticPr fontId="3" type="noConversion"/>
  </si>
  <si>
    <t>정기수</t>
    <phoneticPr fontId="3" type="noConversion"/>
  </si>
  <si>
    <t>자체</t>
    <phoneticPr fontId="3" type="noConversion"/>
  </si>
  <si>
    <t>김정훈</t>
    <phoneticPr fontId="3" type="noConversion"/>
  </si>
  <si>
    <t>폐기</t>
    <phoneticPr fontId="3" type="noConversion"/>
  </si>
  <si>
    <t>SIMCO</t>
    <phoneticPr fontId="3" type="noConversion"/>
  </si>
  <si>
    <t xml:space="preserve">FAN 안돌아감 </t>
    <phoneticPr fontId="3" type="noConversion"/>
  </si>
  <si>
    <t>자체</t>
    <phoneticPr fontId="3" type="noConversion"/>
  </si>
  <si>
    <t>*075040094312785*</t>
  </si>
  <si>
    <t>PS0037300</t>
    <phoneticPr fontId="3" type="noConversion"/>
  </si>
  <si>
    <t>고전압 램프 제어보드</t>
    <phoneticPr fontId="3" type="noConversion"/>
  </si>
  <si>
    <t>점검 하였으나 이상무</t>
    <phoneticPr fontId="3" type="noConversion"/>
  </si>
  <si>
    <t>0117017</t>
    <phoneticPr fontId="3" type="noConversion"/>
  </si>
  <si>
    <t>Magohmeter</t>
    <phoneticPr fontId="3" type="noConversion"/>
  </si>
  <si>
    <t>내부 보드</t>
    <phoneticPr fontId="3" type="noConversion"/>
  </si>
  <si>
    <t>아날로그 칩 교체</t>
    <phoneticPr fontId="3" type="noConversion"/>
  </si>
  <si>
    <t>김진환</t>
    <phoneticPr fontId="3" type="noConversion"/>
  </si>
  <si>
    <t>수리완료</t>
    <phoneticPr fontId="3" type="noConversion"/>
  </si>
  <si>
    <t>IONIZER</t>
    <phoneticPr fontId="3" type="noConversion"/>
  </si>
  <si>
    <t>IPI-332</t>
    <phoneticPr fontId="3" type="noConversion"/>
  </si>
  <si>
    <t>고압 OUT</t>
    <phoneticPr fontId="3" type="noConversion"/>
  </si>
  <si>
    <t>130600799</t>
    <phoneticPr fontId="3" type="noConversion"/>
  </si>
  <si>
    <t>자체</t>
    <phoneticPr fontId="3" type="noConversion"/>
  </si>
  <si>
    <t>정기수</t>
    <phoneticPr fontId="3" type="noConversion"/>
  </si>
  <si>
    <t>레귤레이터 구매중</t>
    <phoneticPr fontId="3" type="noConversion"/>
  </si>
  <si>
    <t>노동록</t>
    <phoneticPr fontId="3" type="noConversion"/>
  </si>
  <si>
    <t>수리완료</t>
    <phoneticPr fontId="3" type="noConversion"/>
  </si>
  <si>
    <t>Monitotr</t>
    <phoneticPr fontId="3" type="noConversion"/>
  </si>
  <si>
    <t>touch monitor</t>
    <phoneticPr fontId="3" type="noConversion"/>
  </si>
  <si>
    <t>빽라이트 교체</t>
    <phoneticPr fontId="3" type="noConversion"/>
  </si>
  <si>
    <t>자체</t>
    <phoneticPr fontId="3" type="noConversion"/>
  </si>
  <si>
    <t>정기수</t>
    <phoneticPr fontId="3" type="noConversion"/>
  </si>
  <si>
    <t>master743</t>
    <phoneticPr fontId="3" type="noConversion"/>
  </si>
  <si>
    <t>LCP24-30Q EXT</t>
    <phoneticPr fontId="3" type="noConversion"/>
  </si>
  <si>
    <t>Lamp controller</t>
    <phoneticPr fontId="3" type="noConversion"/>
  </si>
  <si>
    <t>#1, 2 깜박임 / 콘넥터 교체</t>
    <phoneticPr fontId="3" type="noConversion"/>
  </si>
  <si>
    <t>L11-159C</t>
    <phoneticPr fontId="3" type="noConversion"/>
  </si>
  <si>
    <t>FP-VM-10-MO</t>
    <phoneticPr fontId="3" type="noConversion"/>
  </si>
  <si>
    <t>화면 안아옴 / 백라이트 교체</t>
    <phoneticPr fontId="3" type="noConversion"/>
  </si>
  <si>
    <t>전원 안나옴 / 콘넥터 교체</t>
    <phoneticPr fontId="3" type="noConversion"/>
  </si>
  <si>
    <t>s네</t>
    <phoneticPr fontId="3" type="noConversion"/>
  </si>
  <si>
    <t>plc position controller</t>
    <phoneticPr fontId="3" type="noConversion"/>
  </si>
  <si>
    <t xml:space="preserve">position error </t>
    <phoneticPr fontId="3" type="noConversion"/>
  </si>
  <si>
    <t>xgF-PD3A</t>
    <phoneticPr fontId="3" type="noConversion"/>
  </si>
  <si>
    <t xml:space="preserve">최경철 </t>
    <phoneticPr fontId="3" type="noConversion"/>
  </si>
  <si>
    <t xml:space="preserve">김현만 </t>
    <phoneticPr fontId="3" type="noConversion"/>
  </si>
  <si>
    <t>김진환</t>
    <phoneticPr fontId="3" type="noConversion"/>
  </si>
  <si>
    <t>수리완료</t>
    <phoneticPr fontId="3" type="noConversion"/>
  </si>
  <si>
    <t>G</t>
    <phoneticPr fontId="3" type="noConversion"/>
  </si>
  <si>
    <t>6T2P</t>
    <phoneticPr fontId="3" type="noConversion"/>
  </si>
  <si>
    <t>IPI-332</t>
    <phoneticPr fontId="3" type="noConversion"/>
  </si>
  <si>
    <t>IONIZER</t>
    <phoneticPr fontId="3" type="noConversion"/>
  </si>
  <si>
    <t>ION값 불량</t>
    <phoneticPr fontId="3" type="noConversion"/>
  </si>
  <si>
    <t>140701924</t>
    <phoneticPr fontId="3" type="noConversion"/>
  </si>
  <si>
    <t>자체</t>
    <phoneticPr fontId="3" type="noConversion"/>
  </si>
  <si>
    <t>정기수</t>
    <phoneticPr fontId="3" type="noConversion"/>
  </si>
  <si>
    <t>이중학</t>
    <phoneticPr fontId="3" type="noConversion"/>
  </si>
  <si>
    <t>170400720</t>
    <phoneticPr fontId="3" type="noConversion"/>
  </si>
  <si>
    <t>자체</t>
    <phoneticPr fontId="3" type="noConversion"/>
  </si>
  <si>
    <t>140601769</t>
    <phoneticPr fontId="3" type="noConversion"/>
  </si>
  <si>
    <t>폐기 진행</t>
    <phoneticPr fontId="3" type="noConversion"/>
  </si>
  <si>
    <t>최경철</t>
    <phoneticPr fontId="3" type="noConversion"/>
  </si>
  <si>
    <t>ADVANTEST HP93000</t>
    <phoneticPr fontId="3" type="noConversion"/>
  </si>
  <si>
    <t>Head Active Board</t>
  </si>
  <si>
    <t>인식안됨</t>
    <phoneticPr fontId="3" type="noConversion"/>
  </si>
  <si>
    <t>Z-node</t>
    <phoneticPr fontId="3" type="noConversion"/>
  </si>
  <si>
    <t>Z축 Down</t>
    <phoneticPr fontId="3" type="noConversion"/>
  </si>
  <si>
    <t>프로그램 실행 X</t>
    <phoneticPr fontId="3" type="noConversion"/>
  </si>
  <si>
    <t>유성학</t>
    <phoneticPr fontId="3" type="noConversion"/>
  </si>
  <si>
    <t>B</t>
    <phoneticPr fontId="3" type="noConversion"/>
  </si>
  <si>
    <t>BITS BOARD</t>
    <phoneticPr fontId="3" type="noConversion"/>
  </si>
  <si>
    <t>BITS AGC</t>
    <phoneticPr fontId="3" type="noConversion"/>
  </si>
  <si>
    <t xml:space="preserve">AL24   module 아래 AL CONDENSER  33uf 25v 2개  위면 47uf 10v 2개  원인임  </t>
    <phoneticPr fontId="3" type="noConversion"/>
  </si>
  <si>
    <t>e9 error 7800  통신 P5 0100--&gt;0000</t>
    <phoneticPr fontId="3" type="noConversion"/>
  </si>
  <si>
    <t xml:space="preserve">강영구 </t>
    <phoneticPr fontId="3" type="noConversion"/>
  </si>
  <si>
    <t>NA</t>
    <phoneticPr fontId="3" type="noConversion"/>
  </si>
  <si>
    <t xml:space="preserve">MR-J2S-1A  20A </t>
    <phoneticPr fontId="3" type="noConversion"/>
  </si>
  <si>
    <t>김현만</t>
    <phoneticPr fontId="3" type="noConversion"/>
  </si>
  <si>
    <t>solder BALL ATTACH</t>
    <phoneticPr fontId="3" type="noConversion"/>
  </si>
  <si>
    <t xml:space="preserve"> theta driver </t>
    <phoneticPr fontId="3" type="noConversion"/>
  </si>
  <si>
    <t xml:space="preserve">step moter driver </t>
    <phoneticPr fontId="3" type="noConversion"/>
  </si>
  <si>
    <t>SSP</t>
    <phoneticPr fontId="3" type="noConversion"/>
  </si>
  <si>
    <t>Vision Pc</t>
    <phoneticPr fontId="3" type="noConversion"/>
  </si>
  <si>
    <t>부팅 안함 / 전 보드 제거후 다시장착</t>
    <phoneticPr fontId="3" type="noConversion"/>
  </si>
  <si>
    <t>1407-VM-089</t>
    <phoneticPr fontId="3" type="noConversion"/>
  </si>
  <si>
    <t>수리완료</t>
    <phoneticPr fontId="3" type="noConversion"/>
  </si>
  <si>
    <t>정기수</t>
    <phoneticPr fontId="3" type="noConversion"/>
  </si>
  <si>
    <t>자체</t>
    <phoneticPr fontId="3" type="noConversion"/>
  </si>
  <si>
    <t>wbg</t>
    <phoneticPr fontId="3" type="noConversion"/>
  </si>
  <si>
    <t xml:space="preserve">mr-J3-10b </t>
    <phoneticPr fontId="3" type="noConversion"/>
  </si>
  <si>
    <t>display 안됨</t>
    <phoneticPr fontId="3" type="noConversion"/>
  </si>
  <si>
    <t>c 교환</t>
    <phoneticPr fontId="3" type="noConversion"/>
  </si>
  <si>
    <t>최대웅</t>
    <phoneticPr fontId="3" type="noConversion"/>
  </si>
  <si>
    <t xml:space="preserve">통신 안됨  P53 0000 입력 </t>
    <phoneticPr fontId="3" type="noConversion"/>
  </si>
  <si>
    <t>부팅 X</t>
    <phoneticPr fontId="3" type="noConversion"/>
  </si>
  <si>
    <t>한광식</t>
    <phoneticPr fontId="3" type="noConversion"/>
  </si>
  <si>
    <t>F/C</t>
    <phoneticPr fontId="3" type="noConversion"/>
  </si>
  <si>
    <t>T36-PR</t>
    <phoneticPr fontId="3" type="noConversion"/>
  </si>
  <si>
    <t>EzS-PD-42L-A-D</t>
    <phoneticPr fontId="3" type="noConversion"/>
  </si>
  <si>
    <t>스테핑 모터 제어</t>
    <phoneticPr fontId="3" type="noConversion"/>
  </si>
  <si>
    <t>#12 err 파라메터 저장 장치 / 칩 교체</t>
    <phoneticPr fontId="3" type="noConversion"/>
  </si>
  <si>
    <t>1008F1TD2209</t>
    <phoneticPr fontId="3" type="noConversion"/>
  </si>
  <si>
    <t>수리완료</t>
    <phoneticPr fontId="3" type="noConversion"/>
  </si>
  <si>
    <t>외주수리완료</t>
    <phoneticPr fontId="3" type="noConversion"/>
  </si>
  <si>
    <t>성욱경</t>
    <phoneticPr fontId="3" type="noConversion"/>
  </si>
  <si>
    <t>TEST</t>
    <phoneticPr fontId="3" type="noConversion"/>
  </si>
  <si>
    <t>Handler motor driver</t>
  </si>
  <si>
    <t>화면 깨짐 현상</t>
    <phoneticPr fontId="3" type="noConversion"/>
  </si>
  <si>
    <t>유성수</t>
    <phoneticPr fontId="3" type="noConversion"/>
  </si>
  <si>
    <t>FC</t>
    <phoneticPr fontId="3" type="noConversion"/>
  </si>
  <si>
    <t>MR-J2S-20A</t>
    <phoneticPr fontId="3" type="noConversion"/>
  </si>
  <si>
    <t>WBG</t>
    <phoneticPr fontId="3" type="noConversion"/>
  </si>
  <si>
    <t>E9</t>
    <phoneticPr fontId="3" type="noConversion"/>
  </si>
  <si>
    <t>E9 PROGRAM COPY</t>
    <phoneticPr fontId="3" type="noConversion"/>
  </si>
  <si>
    <t>계측기</t>
    <phoneticPr fontId="3" type="noConversion"/>
  </si>
  <si>
    <t>ma 부분 작동 안됨 / 내부 휴즈 교체</t>
    <phoneticPr fontId="3" type="noConversion"/>
  </si>
  <si>
    <t>436696</t>
    <phoneticPr fontId="3" type="noConversion"/>
  </si>
  <si>
    <t>허준영</t>
    <phoneticPr fontId="3" type="noConversion"/>
  </si>
  <si>
    <t>정기수</t>
    <phoneticPr fontId="3" type="noConversion"/>
  </si>
  <si>
    <t>K5</t>
    <phoneticPr fontId="3" type="noConversion"/>
  </si>
  <si>
    <t>K5</t>
    <phoneticPr fontId="3" type="noConversion"/>
  </si>
  <si>
    <t>스피커 제작</t>
    <phoneticPr fontId="3" type="noConversion"/>
  </si>
  <si>
    <t>N/A</t>
    <phoneticPr fontId="3" type="noConversion"/>
  </si>
  <si>
    <t>K5 안전 예방 스피커 제작</t>
    <phoneticPr fontId="3" type="noConversion"/>
  </si>
  <si>
    <t>자체</t>
    <phoneticPr fontId="3" type="noConversion"/>
  </si>
  <si>
    <t>김종한</t>
    <phoneticPr fontId="3" type="noConversion"/>
  </si>
  <si>
    <t>폐기</t>
    <phoneticPr fontId="3" type="noConversion"/>
  </si>
  <si>
    <t>SIMCO</t>
    <phoneticPr fontId="3" type="noConversion"/>
  </si>
  <si>
    <t>ION 값 불량</t>
    <phoneticPr fontId="3" type="noConversion"/>
  </si>
  <si>
    <t>자체</t>
    <phoneticPr fontId="3" type="noConversion"/>
  </si>
  <si>
    <t>정기수</t>
    <phoneticPr fontId="3" type="noConversion"/>
  </si>
  <si>
    <t>GP2501-SC11</t>
    <phoneticPr fontId="3" type="noConversion"/>
  </si>
  <si>
    <t>화면 아난옴 / 인버터 퓨즈 out로 교체</t>
    <phoneticPr fontId="3" type="noConversion"/>
  </si>
  <si>
    <t>066959H003424</t>
    <phoneticPr fontId="3" type="noConversion"/>
  </si>
  <si>
    <t>1r-6a01a</t>
    <phoneticPr fontId="3" type="noConversion"/>
  </si>
  <si>
    <t>yaskawa servo pack</t>
    <phoneticPr fontId="3" type="noConversion"/>
  </si>
  <si>
    <t xml:space="preserve">7ab  alram  new bd copy /fan 2 개 para copy </t>
    <phoneticPr fontId="3" type="noConversion"/>
  </si>
  <si>
    <t>BT3390</t>
    <phoneticPr fontId="3" type="noConversion"/>
  </si>
  <si>
    <t>전압 부분 오차 넘음 / 분해 내부 크리닝 후 제조립</t>
    <phoneticPr fontId="3" type="noConversion"/>
  </si>
  <si>
    <t>160706889</t>
    <phoneticPr fontId="3" type="noConversion"/>
  </si>
  <si>
    <t>이신희</t>
    <phoneticPr fontId="3" type="noConversion"/>
  </si>
  <si>
    <t>수리완료</t>
    <phoneticPr fontId="3" type="noConversion"/>
  </si>
  <si>
    <t>A</t>
    <phoneticPr fontId="3" type="noConversion"/>
  </si>
  <si>
    <t>1T3P</t>
    <phoneticPr fontId="3" type="noConversion"/>
  </si>
  <si>
    <t>Wire Bonding</t>
    <phoneticPr fontId="3" type="noConversion"/>
  </si>
  <si>
    <t>Half Stepper BD 4214</t>
  </si>
  <si>
    <t>Half Stepper BD 4214</t>
    <phoneticPr fontId="3" type="noConversion"/>
  </si>
  <si>
    <t>드라이버 동작 불량/퓨즈 구매 중</t>
    <phoneticPr fontId="3" type="noConversion"/>
  </si>
  <si>
    <t>드라이버 동작 불량</t>
    <phoneticPr fontId="3" type="noConversion"/>
  </si>
  <si>
    <t>자체</t>
    <phoneticPr fontId="3" type="noConversion"/>
  </si>
  <si>
    <t>정기수</t>
    <phoneticPr fontId="3" type="noConversion"/>
  </si>
  <si>
    <t>S372205-BL71961</t>
  </si>
  <si>
    <t>S372205-BL43689</t>
  </si>
  <si>
    <t>*12104009424841*</t>
    <phoneticPr fontId="3" type="noConversion"/>
  </si>
  <si>
    <t xml:space="preserve">홍학선 </t>
    <phoneticPr fontId="3" type="noConversion"/>
  </si>
  <si>
    <t>ICONN plus LA</t>
    <phoneticPr fontId="3" type="noConversion"/>
  </si>
  <si>
    <t xml:space="preserve">MATROX BOX </t>
    <phoneticPr fontId="3" type="noConversion"/>
  </si>
  <si>
    <t xml:space="preserve">가동중 멈춤 </t>
    <phoneticPr fontId="3" type="noConversion"/>
  </si>
  <si>
    <t>alram 발생 c 이상</t>
    <phoneticPr fontId="3" type="noConversion"/>
  </si>
  <si>
    <t>전원,터치 불량</t>
    <phoneticPr fontId="3" type="noConversion"/>
  </si>
  <si>
    <t>고경석</t>
    <phoneticPr fontId="3" type="noConversion"/>
  </si>
  <si>
    <t>Solidworks servo</t>
    <phoneticPr fontId="3" type="noConversion"/>
  </si>
  <si>
    <t>Pro3330</t>
    <phoneticPr fontId="3" type="noConversion"/>
  </si>
  <si>
    <t>전원 출력 안됨/모든 콘덴서 및 PWM chip 저항 10옴</t>
    <phoneticPr fontId="3" type="noConversion"/>
  </si>
  <si>
    <t>CNG2078CJR</t>
    <phoneticPr fontId="3" type="noConversion"/>
  </si>
  <si>
    <t>mr-J3-10b-s133</t>
    <phoneticPr fontId="3" type="noConversion"/>
  </si>
  <si>
    <t xml:space="preserve">특주 model 로 대체 안됨 </t>
    <phoneticPr fontId="3" type="noConversion"/>
  </si>
  <si>
    <t>전원 off /D511(5.1v) 65(18v) IC:UC33364</t>
    <phoneticPr fontId="3" type="noConversion"/>
  </si>
  <si>
    <t>PC TYPE TOUCH MONITOR</t>
    <phoneticPr fontId="3" type="noConversion"/>
  </si>
  <si>
    <t>Touch 안됨 / 접촉 불량</t>
    <phoneticPr fontId="3" type="noConversion"/>
  </si>
  <si>
    <t>066959H003657</t>
    <phoneticPr fontId="3" type="noConversion"/>
  </si>
  <si>
    <t>박지우</t>
    <phoneticPr fontId="3" type="noConversion"/>
  </si>
  <si>
    <t>충전 안됨/ Dual P chnnl MOSFET chip out로 교체</t>
    <phoneticPr fontId="3" type="noConversion"/>
  </si>
  <si>
    <t>장원선</t>
    <phoneticPr fontId="3" type="noConversion"/>
  </si>
  <si>
    <t>권지혜</t>
    <phoneticPr fontId="3" type="noConversion"/>
  </si>
  <si>
    <t>TEST</t>
    <phoneticPr fontId="3" type="noConversion"/>
  </si>
  <si>
    <t>SMU Module</t>
    <phoneticPr fontId="3" type="noConversion"/>
  </si>
  <si>
    <t>C-SHTELED</t>
    <phoneticPr fontId="3" type="noConversion"/>
  </si>
  <si>
    <t>PICK AND PLACE</t>
    <phoneticPr fontId="3" type="noConversion"/>
  </si>
  <si>
    <t>Motor driver</t>
    <phoneticPr fontId="3" type="noConversion"/>
  </si>
  <si>
    <t>TENKEY</t>
    <phoneticPr fontId="3" type="noConversion"/>
  </si>
  <si>
    <t>분석실</t>
    <phoneticPr fontId="3" type="noConversion"/>
  </si>
  <si>
    <t>WLCSP EM TEST</t>
  </si>
  <si>
    <t>김보원</t>
    <phoneticPr fontId="3" type="noConversion"/>
  </si>
  <si>
    <t>K5 시설팀 요청</t>
    <phoneticPr fontId="3" type="noConversion"/>
  </si>
  <si>
    <t>K5 시설, 전광판 및 자동음성안내기기 제작 완료</t>
    <phoneticPr fontId="3" type="noConversion"/>
  </si>
  <si>
    <t>수리완료</t>
    <phoneticPr fontId="3" type="noConversion"/>
  </si>
  <si>
    <t>UNABLE TO CONNECT TO ECIM</t>
    <phoneticPr fontId="3" type="noConversion"/>
  </si>
  <si>
    <t>Light controller</t>
    <phoneticPr fontId="3" type="noConversion"/>
  </si>
  <si>
    <t>System 2 PC</t>
    <phoneticPr fontId="3" type="noConversion"/>
  </si>
  <si>
    <t>5C6-334</t>
    <phoneticPr fontId="3" type="noConversion"/>
  </si>
  <si>
    <t>Power Supply, Ram, CPU OUT, HDD Recovery</t>
    <phoneticPr fontId="3" type="noConversion"/>
  </si>
  <si>
    <t>전원 X</t>
    <phoneticPr fontId="3" type="noConversion"/>
  </si>
  <si>
    <t>임현</t>
    <phoneticPr fontId="3" type="noConversion"/>
  </si>
  <si>
    <t>mr-j2s-10a</t>
    <phoneticPr fontId="3" type="noConversion"/>
  </si>
  <si>
    <t xml:space="preserve">servo on  안됨 e9 al 10 al 51 /7800 33u 47u </t>
    <phoneticPr fontId="3" type="noConversion"/>
  </si>
  <si>
    <t>김진만</t>
    <phoneticPr fontId="3" type="noConversion"/>
  </si>
  <si>
    <t xml:space="preserve">mold </t>
    <phoneticPr fontId="3" type="noConversion"/>
  </si>
  <si>
    <t xml:space="preserve">ten key </t>
    <phoneticPr fontId="3" type="noConversion"/>
  </si>
  <si>
    <t xml:space="preserve">한미 ten key </t>
    <phoneticPr fontId="3" type="noConversion"/>
  </si>
  <si>
    <t>불량 coil out 101</t>
    <phoneticPr fontId="3" type="noConversion"/>
  </si>
  <si>
    <t>제어부 전원 SW 포함된 500K VR out로 구매 교채</t>
    <phoneticPr fontId="3" type="noConversion"/>
  </si>
  <si>
    <t>유성학</t>
    <phoneticPr fontId="3" type="noConversion"/>
  </si>
  <si>
    <t>수리완료</t>
    <phoneticPr fontId="3" type="noConversion"/>
  </si>
  <si>
    <t>B</t>
    <phoneticPr fontId="3" type="noConversion"/>
  </si>
  <si>
    <t>Wire Bonding</t>
    <phoneticPr fontId="3" type="noConversion"/>
  </si>
  <si>
    <t>K&amp;S Iconn PLUS PROCU</t>
    <phoneticPr fontId="3" type="noConversion"/>
  </si>
  <si>
    <t>BITS AGC</t>
    <phoneticPr fontId="3" type="noConversion"/>
  </si>
  <si>
    <t>자체</t>
    <phoneticPr fontId="3" type="noConversion"/>
  </si>
  <si>
    <t>정기수</t>
    <phoneticPr fontId="3" type="noConversion"/>
  </si>
  <si>
    <t>이정현</t>
    <phoneticPr fontId="3" type="noConversion"/>
  </si>
  <si>
    <t>수리완료</t>
    <phoneticPr fontId="3" type="noConversion"/>
  </si>
  <si>
    <t>6T1P</t>
    <phoneticPr fontId="3" type="noConversion"/>
  </si>
  <si>
    <t>Bump</t>
    <phoneticPr fontId="3" type="noConversion"/>
  </si>
  <si>
    <t>Monitor</t>
    <phoneticPr fontId="3" type="noConversion"/>
  </si>
  <si>
    <t xml:space="preserve">ELO </t>
    <phoneticPr fontId="3" type="noConversion"/>
  </si>
  <si>
    <t xml:space="preserve">Touch 안됨 </t>
    <phoneticPr fontId="3" type="noConversion"/>
  </si>
  <si>
    <t>자체</t>
    <phoneticPr fontId="3" type="noConversion"/>
  </si>
  <si>
    <t>정기수</t>
    <phoneticPr fontId="3" type="noConversion"/>
  </si>
  <si>
    <t>24V I/O board</t>
    <phoneticPr fontId="3" type="noConversion"/>
  </si>
  <si>
    <t>connctor</t>
    <phoneticPr fontId="3" type="noConversion"/>
  </si>
  <si>
    <t>이상 동작 / diode 1N4007 out로 교체</t>
    <phoneticPr fontId="3" type="noConversion"/>
  </si>
  <si>
    <t>15A04</t>
    <phoneticPr fontId="3" type="noConversion"/>
  </si>
  <si>
    <t>홍학선</t>
    <phoneticPr fontId="3" type="noConversion"/>
  </si>
  <si>
    <t>wb</t>
    <phoneticPr fontId="3" type="noConversion"/>
  </si>
  <si>
    <t xml:space="preserve">iconn la </t>
    <phoneticPr fontId="3" type="noConversion"/>
  </si>
  <si>
    <t xml:space="preserve"> power supply</t>
    <phoneticPr fontId="3" type="noConversion"/>
  </si>
  <si>
    <t>#1 #3 led error</t>
    <phoneticPr fontId="3" type="noConversion"/>
  </si>
  <si>
    <t>#3 led error</t>
    <phoneticPr fontId="3" type="noConversion"/>
  </si>
  <si>
    <t>20018</t>
    <phoneticPr fontId="3" type="noConversion"/>
  </si>
  <si>
    <t>01703</t>
    <phoneticPr fontId="3" type="noConversion"/>
  </si>
  <si>
    <t>수리완료</t>
    <phoneticPr fontId="3" type="noConversion"/>
  </si>
  <si>
    <t>F</t>
    <phoneticPr fontId="3" type="noConversion"/>
  </si>
  <si>
    <t>5T2P</t>
    <phoneticPr fontId="3" type="noConversion"/>
  </si>
  <si>
    <t>IPI-332</t>
    <phoneticPr fontId="3" type="noConversion"/>
  </si>
  <si>
    <t>알람</t>
    <phoneticPr fontId="3" type="noConversion"/>
  </si>
  <si>
    <t>자체</t>
    <phoneticPr fontId="3" type="noConversion"/>
  </si>
  <si>
    <t>정기수</t>
    <phoneticPr fontId="3" type="noConversion"/>
  </si>
  <si>
    <t>홍학선</t>
    <phoneticPr fontId="3" type="noConversion"/>
  </si>
  <si>
    <t>k&amp;s iconn PLUS</t>
    <phoneticPr fontId="3" type="noConversion"/>
  </si>
  <si>
    <t>수리완료</t>
    <phoneticPr fontId="3" type="noConversion"/>
  </si>
  <si>
    <t>EE</t>
    <phoneticPr fontId="3" type="noConversion"/>
  </si>
  <si>
    <t>EE2</t>
    <phoneticPr fontId="3" type="noConversion"/>
  </si>
  <si>
    <t>EE</t>
    <phoneticPr fontId="3" type="noConversion"/>
  </si>
  <si>
    <t>EE2</t>
    <phoneticPr fontId="3" type="noConversion"/>
  </si>
  <si>
    <t>k&amp;s iconn LA</t>
    <phoneticPr fontId="3" type="noConversion"/>
  </si>
  <si>
    <t>윈도우 안넘어감</t>
    <phoneticPr fontId="3" type="noConversion"/>
  </si>
  <si>
    <t>MATROX 4 Sight M</t>
    <phoneticPr fontId="3" type="noConversion"/>
  </si>
  <si>
    <t>MATROX 4 Sight MB</t>
    <phoneticPr fontId="3" type="noConversion"/>
  </si>
  <si>
    <t>자체</t>
    <phoneticPr fontId="3" type="noConversion"/>
  </si>
  <si>
    <t>정기수</t>
    <phoneticPr fontId="3" type="noConversion"/>
  </si>
  <si>
    <t>K5 출장</t>
    <phoneticPr fontId="3" type="noConversion"/>
  </si>
  <si>
    <t>System2 PC, OVEN 등 분석실 장비 수리 및 점검</t>
    <phoneticPr fontId="3" type="noConversion"/>
  </si>
  <si>
    <t>D070011H09155</t>
    <phoneticPr fontId="3" type="noConversion"/>
  </si>
  <si>
    <t>DFD6361</t>
    <phoneticPr fontId="3" type="noConversion"/>
  </si>
  <si>
    <t>PACK DRIVER D3432</t>
    <phoneticPr fontId="3" type="noConversion"/>
  </si>
  <si>
    <t>이성곤</t>
    <phoneticPr fontId="3" type="noConversion"/>
  </si>
  <si>
    <t>PHOTO</t>
    <phoneticPr fontId="3" type="noConversion"/>
  </si>
  <si>
    <t xml:space="preserve">CD-3호기 Main Monitor </t>
  </si>
  <si>
    <t>수리완료</t>
    <phoneticPr fontId="3" type="noConversion"/>
  </si>
  <si>
    <t>F</t>
    <phoneticPr fontId="3" type="noConversion"/>
  </si>
  <si>
    <t>5T2P</t>
    <phoneticPr fontId="3" type="noConversion"/>
  </si>
  <si>
    <t>MONITOR</t>
    <phoneticPr fontId="3" type="noConversion"/>
  </si>
  <si>
    <t>E1910P</t>
    <phoneticPr fontId="3" type="noConversion"/>
  </si>
  <si>
    <t>자체</t>
    <phoneticPr fontId="3" type="noConversion"/>
  </si>
  <si>
    <t>정기수</t>
    <phoneticPr fontId="3" type="noConversion"/>
  </si>
  <si>
    <t>빽라이트 ,콘덴서 교체</t>
    <phoneticPr fontId="3" type="noConversion"/>
  </si>
  <si>
    <t>2T3</t>
  </si>
  <si>
    <t>OMRON</t>
  </si>
  <si>
    <t>CVM1-PA208</t>
  </si>
  <si>
    <t>김재영</t>
    <phoneticPr fontId="3" type="noConversion"/>
  </si>
  <si>
    <t>폐기</t>
    <phoneticPr fontId="3" type="noConversion"/>
  </si>
  <si>
    <t>A</t>
    <phoneticPr fontId="3" type="noConversion"/>
  </si>
  <si>
    <t>1T4P</t>
    <phoneticPr fontId="3" type="noConversion"/>
  </si>
  <si>
    <t>IPI-220</t>
    <phoneticPr fontId="3" type="noConversion"/>
  </si>
  <si>
    <t>전원 불량</t>
    <phoneticPr fontId="3" type="noConversion"/>
  </si>
  <si>
    <t>자체</t>
    <phoneticPr fontId="3" type="noConversion"/>
  </si>
  <si>
    <t>정기수</t>
    <phoneticPr fontId="3" type="noConversion"/>
  </si>
  <si>
    <t>140601768</t>
    <phoneticPr fontId="3" type="noConversion"/>
  </si>
  <si>
    <t>계속 회전 되는 현상 / 스위치 교체</t>
    <phoneticPr fontId="3" type="noConversion"/>
  </si>
  <si>
    <t>회전 이상 / 충전 배터리교체</t>
    <phoneticPr fontId="3" type="noConversion"/>
  </si>
  <si>
    <t>김미혜</t>
    <phoneticPr fontId="3" type="noConversion"/>
  </si>
  <si>
    <t>폐기</t>
    <phoneticPr fontId="3" type="noConversion"/>
  </si>
  <si>
    <t>P</t>
    <phoneticPr fontId="3" type="noConversion"/>
  </si>
  <si>
    <t>IPI-322VE</t>
    <phoneticPr fontId="3" type="noConversion"/>
  </si>
  <si>
    <t>이온값 불량</t>
    <phoneticPr fontId="3" type="noConversion"/>
  </si>
  <si>
    <t>자체</t>
    <phoneticPr fontId="3" type="noConversion"/>
  </si>
  <si>
    <t>정기수</t>
    <phoneticPr fontId="3" type="noConversion"/>
  </si>
  <si>
    <t>B20170200010579</t>
    <phoneticPr fontId="3" type="noConversion"/>
  </si>
  <si>
    <t>한일남</t>
    <phoneticPr fontId="3" type="noConversion"/>
  </si>
  <si>
    <t>수리완료</t>
    <phoneticPr fontId="3" type="noConversion"/>
  </si>
  <si>
    <t>P</t>
    <phoneticPr fontId="3" type="noConversion"/>
  </si>
  <si>
    <t>IPI-332</t>
    <phoneticPr fontId="3" type="noConversion"/>
  </si>
  <si>
    <t>ION값 불량</t>
    <phoneticPr fontId="3" type="noConversion"/>
  </si>
  <si>
    <t>자체</t>
    <phoneticPr fontId="3" type="noConversion"/>
  </si>
  <si>
    <t>정기수</t>
    <phoneticPr fontId="3" type="noConversion"/>
  </si>
  <si>
    <t>박성준</t>
    <phoneticPr fontId="3" type="noConversion"/>
  </si>
  <si>
    <t>수리완료</t>
    <phoneticPr fontId="3" type="noConversion"/>
  </si>
  <si>
    <t>THR-2000</t>
    <phoneticPr fontId="3" type="noConversion"/>
  </si>
  <si>
    <t>VINOSTECH</t>
    <phoneticPr fontId="3" type="noConversion"/>
  </si>
  <si>
    <t>N/A</t>
    <phoneticPr fontId="3" type="noConversion"/>
  </si>
  <si>
    <t>MD</t>
    <phoneticPr fontId="3" type="noConversion"/>
  </si>
  <si>
    <t>유수한</t>
    <phoneticPr fontId="3" type="noConversion"/>
  </si>
  <si>
    <t>ERROR 52 POWER LED OFF ALL C 교환</t>
    <phoneticPr fontId="3" type="noConversion"/>
  </si>
  <si>
    <t>자체</t>
    <phoneticPr fontId="3" type="noConversion"/>
  </si>
  <si>
    <t>정기수</t>
    <phoneticPr fontId="3" type="noConversion"/>
  </si>
  <si>
    <t>A</t>
    <phoneticPr fontId="3" type="noConversion"/>
  </si>
  <si>
    <t>지게차</t>
    <phoneticPr fontId="3" type="noConversion"/>
  </si>
  <si>
    <t>경광등 설치</t>
    <phoneticPr fontId="3" type="noConversion"/>
  </si>
  <si>
    <t>후진 시 경광등 동작</t>
    <phoneticPr fontId="3" type="noConversion"/>
  </si>
  <si>
    <t>c/a</t>
    <phoneticPr fontId="3" type="noConversion"/>
  </si>
  <si>
    <t>datacon</t>
    <phoneticPr fontId="3" type="noConversion"/>
  </si>
  <si>
    <t>김현만</t>
    <phoneticPr fontId="3" type="noConversion"/>
  </si>
  <si>
    <t>power supply 24v</t>
    <phoneticPr fontId="3" type="noConversion"/>
  </si>
  <si>
    <t>정기수</t>
    <phoneticPr fontId="3" type="noConversion"/>
  </si>
  <si>
    <t>박진성</t>
    <phoneticPr fontId="3" type="noConversion"/>
  </si>
  <si>
    <t>EE</t>
    <phoneticPr fontId="3" type="noConversion"/>
  </si>
  <si>
    <t>EE2</t>
    <phoneticPr fontId="3" type="noConversion"/>
  </si>
  <si>
    <t>AC Servo Driver</t>
    <phoneticPr fontId="3" type="noConversion"/>
  </si>
  <si>
    <t>이신희</t>
    <phoneticPr fontId="3" type="noConversion"/>
  </si>
  <si>
    <t>A</t>
    <phoneticPr fontId="3" type="noConversion"/>
  </si>
  <si>
    <t>EE</t>
    <phoneticPr fontId="3" type="noConversion"/>
  </si>
  <si>
    <t>EE2</t>
    <phoneticPr fontId="3" type="noConversion"/>
  </si>
  <si>
    <t>K&amp;S Iconn</t>
    <phoneticPr fontId="3" type="noConversion"/>
  </si>
  <si>
    <t>Bits AGC / Auto Feed 안됨</t>
    <phoneticPr fontId="3" type="noConversion"/>
  </si>
  <si>
    <t>BITS AGC</t>
    <phoneticPr fontId="3" type="noConversion"/>
  </si>
  <si>
    <t>MC Initial 진행 중 RF Power supply alarm 발생</t>
  </si>
  <si>
    <t>R06S0803-025</t>
    <phoneticPr fontId="3" type="noConversion"/>
  </si>
  <si>
    <t>영신알에프</t>
    <phoneticPr fontId="3" type="noConversion"/>
  </si>
  <si>
    <t>정기수</t>
    <phoneticPr fontId="3" type="noConversion"/>
  </si>
  <si>
    <t>김정석</t>
    <phoneticPr fontId="3" type="noConversion"/>
  </si>
  <si>
    <t>APM MOLD</t>
    <phoneticPr fontId="3" type="noConversion"/>
  </si>
  <si>
    <t xml:space="preserve">fet=45nm50  diode 1.5ke250a diode 1n5627(800v 3a) c=250v 270uf </t>
    <phoneticPr fontId="3" type="noConversion"/>
  </si>
  <si>
    <t>김진만</t>
    <phoneticPr fontId="3" type="noConversion"/>
  </si>
  <si>
    <t>SOLDER</t>
    <phoneticPr fontId="3" type="noConversion"/>
  </si>
  <si>
    <t xml:space="preserve">3M MINI CLAMP </t>
    <phoneticPr fontId="3" type="noConversion"/>
  </si>
  <si>
    <t>24V 1A</t>
    <phoneticPr fontId="3" type="noConversion"/>
  </si>
  <si>
    <t xml:space="preserve">전원 out  / F </t>
    <phoneticPr fontId="3" type="noConversion"/>
  </si>
  <si>
    <t>강성열</t>
    <phoneticPr fontId="3" type="noConversion"/>
  </si>
  <si>
    <t>F/C</t>
    <phoneticPr fontId="3" type="noConversion"/>
  </si>
  <si>
    <t xml:space="preserve">MR-J2S-10A </t>
    <phoneticPr fontId="3" type="noConversion"/>
  </si>
  <si>
    <t xml:space="preserve">E9 ERROR 7800 </t>
    <phoneticPr fontId="3" type="noConversion"/>
  </si>
  <si>
    <t>자체</t>
    <phoneticPr fontId="3" type="noConversion"/>
  </si>
  <si>
    <t>이신희</t>
    <phoneticPr fontId="3" type="noConversion"/>
  </si>
  <si>
    <t>A</t>
    <phoneticPr fontId="3" type="noConversion"/>
  </si>
  <si>
    <t>IPI-332</t>
    <phoneticPr fontId="3" type="noConversion"/>
  </si>
  <si>
    <t>ION 값 불량</t>
    <phoneticPr fontId="3" type="noConversion"/>
  </si>
  <si>
    <t>정기수</t>
    <phoneticPr fontId="3" type="noConversion"/>
  </si>
  <si>
    <t>배기범</t>
    <phoneticPr fontId="3" type="noConversion"/>
  </si>
  <si>
    <t>PNP</t>
    <phoneticPr fontId="3" type="noConversion"/>
  </si>
  <si>
    <t>MI30  Detaper</t>
    <phoneticPr fontId="3" type="noConversion"/>
  </si>
  <si>
    <t>Tension Control B/D</t>
    <phoneticPr fontId="3" type="noConversion"/>
  </si>
  <si>
    <t>전압 안나옴 / PWM chip out로 폐기</t>
    <phoneticPr fontId="3" type="noConversion"/>
  </si>
  <si>
    <t>김선일</t>
    <phoneticPr fontId="3" type="noConversion"/>
  </si>
  <si>
    <t>TCNCP</t>
    <phoneticPr fontId="3" type="noConversion"/>
  </si>
  <si>
    <t>차량번호인식 게이트</t>
    <phoneticPr fontId="3" type="noConversion"/>
  </si>
  <si>
    <t>기숙사 및 후문 점검</t>
    <phoneticPr fontId="3" type="noConversion"/>
  </si>
  <si>
    <t>office</t>
    <phoneticPr fontId="3" type="noConversion"/>
  </si>
  <si>
    <t>전압 안나옴 / PWM chip out 교체</t>
    <phoneticPr fontId="3" type="noConversion"/>
  </si>
  <si>
    <t>SERVO ERROR</t>
    <phoneticPr fontId="3" type="noConversion"/>
  </si>
  <si>
    <t>유철호</t>
    <phoneticPr fontId="3" type="noConversion"/>
  </si>
  <si>
    <t>수리완료</t>
    <phoneticPr fontId="3" type="noConversion"/>
  </si>
  <si>
    <t>정기수</t>
    <phoneticPr fontId="3" type="noConversion"/>
  </si>
  <si>
    <t>N/A</t>
    <phoneticPr fontId="3" type="noConversion"/>
  </si>
  <si>
    <t>화면 안나옴 / 램프 out로 교체, Invertor connctor #5 수리 퓨즈 교체</t>
    <phoneticPr fontId="3" type="noConversion"/>
  </si>
  <si>
    <t>전원 깜박 거림</t>
    <phoneticPr fontId="3" type="noConversion"/>
  </si>
  <si>
    <t>김창우</t>
    <phoneticPr fontId="3" type="noConversion"/>
  </si>
  <si>
    <t>폐기</t>
    <phoneticPr fontId="3" type="noConversion"/>
  </si>
  <si>
    <t>Other</t>
    <phoneticPr fontId="3" type="noConversion"/>
  </si>
  <si>
    <t>MONITOR</t>
    <phoneticPr fontId="3" type="noConversion"/>
  </si>
  <si>
    <t>화면 안나옴 / firmware out</t>
    <phoneticPr fontId="3" type="noConversion"/>
  </si>
  <si>
    <t>acer</t>
    <phoneticPr fontId="3" type="noConversion"/>
  </si>
  <si>
    <t>자체</t>
    <phoneticPr fontId="3" type="noConversion"/>
  </si>
  <si>
    <t>정기수</t>
    <phoneticPr fontId="3" type="noConversion"/>
  </si>
  <si>
    <t xml:space="preserve">김종훈 </t>
    <phoneticPr fontId="3" type="noConversion"/>
  </si>
  <si>
    <t xml:space="preserve">datacon </t>
    <phoneticPr fontId="3" type="noConversion"/>
  </si>
  <si>
    <t xml:space="preserve">relay driver </t>
    <phoneticPr fontId="3" type="noConversion"/>
  </si>
  <si>
    <t xml:space="preserve">burn  out =SMD  FD J or FD 1 동일 다링톤 tr  </t>
    <phoneticPr fontId="3" type="noConversion"/>
  </si>
  <si>
    <t>Power Supply ASSY</t>
    <phoneticPr fontId="3" type="noConversion"/>
  </si>
  <si>
    <t>PC Booting Fail</t>
    <phoneticPr fontId="3" type="noConversion"/>
  </si>
  <si>
    <t>CVSP-880</t>
    <phoneticPr fontId="3" type="noConversion"/>
  </si>
  <si>
    <t xml:space="preserve">ION 값 불량 / BOARD OUT </t>
    <phoneticPr fontId="3" type="noConversion"/>
  </si>
  <si>
    <t>김경철</t>
    <phoneticPr fontId="3" type="noConversion"/>
  </si>
  <si>
    <t>수리완료</t>
    <phoneticPr fontId="3" type="noConversion"/>
  </si>
  <si>
    <t>QA</t>
    <phoneticPr fontId="3" type="noConversion"/>
  </si>
  <si>
    <t>SIMCO</t>
    <phoneticPr fontId="3" type="noConversion"/>
  </si>
  <si>
    <t>IONIZER</t>
    <phoneticPr fontId="3" type="noConversion"/>
  </si>
  <si>
    <t xml:space="preserve">알람 / PIN ALL CLEANING </t>
    <phoneticPr fontId="3" type="noConversion"/>
  </si>
  <si>
    <t>자체</t>
    <phoneticPr fontId="3" type="noConversion"/>
  </si>
  <si>
    <t>정기수</t>
    <phoneticPr fontId="3" type="noConversion"/>
  </si>
  <si>
    <t>PD-365</t>
    <phoneticPr fontId="3" type="noConversion"/>
  </si>
  <si>
    <t>EYE UV METER</t>
    <phoneticPr fontId="3" type="noConversion"/>
  </si>
  <si>
    <t>실드 캡 떨어짐 / 고열 납땜 함</t>
    <phoneticPr fontId="3" type="noConversion"/>
  </si>
  <si>
    <t>00061602</t>
    <phoneticPr fontId="3" type="noConversion"/>
  </si>
  <si>
    <t>K&amp;S ICONN</t>
    <phoneticPr fontId="3" type="noConversion"/>
  </si>
  <si>
    <t>bondhead interface board</t>
  </si>
  <si>
    <t>김진환</t>
    <phoneticPr fontId="3" type="noConversion"/>
  </si>
  <si>
    <t>수리완료</t>
    <phoneticPr fontId="3" type="noConversion"/>
  </si>
  <si>
    <t>IPI-332</t>
    <phoneticPr fontId="3" type="noConversion"/>
  </si>
  <si>
    <t>알람 / BOARD 불량</t>
    <phoneticPr fontId="3" type="noConversion"/>
  </si>
  <si>
    <t>자체</t>
    <phoneticPr fontId="3" type="noConversion"/>
  </si>
  <si>
    <t>정기수</t>
    <phoneticPr fontId="3" type="noConversion"/>
  </si>
  <si>
    <t>강영관</t>
    <phoneticPr fontId="3" type="noConversion"/>
  </si>
  <si>
    <t>폐기</t>
    <phoneticPr fontId="3" type="noConversion"/>
  </si>
  <si>
    <t>SJ-F020</t>
    <phoneticPr fontId="3" type="noConversion"/>
  </si>
  <si>
    <t xml:space="preserve">CSDL </t>
    <phoneticPr fontId="3" type="noConversion"/>
  </si>
  <si>
    <t>김진만</t>
    <phoneticPr fontId="3" type="noConversion"/>
  </si>
  <si>
    <t>수리완료</t>
    <phoneticPr fontId="3" type="noConversion"/>
  </si>
  <si>
    <t>simco</t>
    <phoneticPr fontId="3" type="noConversion"/>
  </si>
  <si>
    <t xml:space="preserve">전원 out / PIN ALL CLEANING Board 교체 </t>
    <phoneticPr fontId="3" type="noConversion"/>
  </si>
  <si>
    <t>자체</t>
    <phoneticPr fontId="3" type="noConversion"/>
  </si>
  <si>
    <t>정기수</t>
    <phoneticPr fontId="3" type="noConversion"/>
  </si>
  <si>
    <t>윤명진</t>
    <phoneticPr fontId="3" type="noConversion"/>
  </si>
  <si>
    <t xml:space="preserve">Mforce micro drive </t>
  </si>
  <si>
    <t>PNP</t>
    <phoneticPr fontId="3" type="noConversion"/>
  </si>
  <si>
    <t>이성곤</t>
    <phoneticPr fontId="3" type="noConversion"/>
  </si>
  <si>
    <t>Stepper-2</t>
    <phoneticPr fontId="3" type="noConversion"/>
  </si>
  <si>
    <t>robot controller power supply</t>
    <phoneticPr fontId="3" type="noConversion"/>
  </si>
  <si>
    <t>폐기</t>
    <phoneticPr fontId="3" type="noConversion"/>
  </si>
  <si>
    <t>전명원</t>
    <phoneticPr fontId="3" type="noConversion"/>
  </si>
  <si>
    <t>EE</t>
    <phoneticPr fontId="3" type="noConversion"/>
  </si>
  <si>
    <t>EE1</t>
    <phoneticPr fontId="3" type="noConversion"/>
  </si>
  <si>
    <t>MONITOR</t>
    <phoneticPr fontId="3" type="noConversion"/>
  </si>
  <si>
    <t xml:space="preserve">22인치 LED </t>
    <phoneticPr fontId="3" type="noConversion"/>
  </si>
  <si>
    <t>자체</t>
    <phoneticPr fontId="3" type="noConversion"/>
  </si>
  <si>
    <t>정기수</t>
    <phoneticPr fontId="3" type="noConversion"/>
  </si>
  <si>
    <t>LED OUT /전원 OUT</t>
    <phoneticPr fontId="3" type="noConversion"/>
  </si>
  <si>
    <t xml:space="preserve">김재영 </t>
    <phoneticPr fontId="3" type="noConversion"/>
  </si>
  <si>
    <t>mk</t>
    <phoneticPr fontId="3" type="noConversion"/>
  </si>
  <si>
    <t>maddt1207</t>
    <phoneticPr fontId="3" type="noConversion"/>
  </si>
  <si>
    <t xml:space="preserve">motor 안돎 pr 20-1000 pr21 -0 pr 40 -1 pr2- 0 default 값에서 4개만 수정  장비 업체 </t>
    <phoneticPr fontId="3" type="noConversion"/>
  </si>
  <si>
    <t xml:space="preserve">ERROR </t>
    <phoneticPr fontId="3" type="noConversion"/>
  </si>
  <si>
    <t>WaveRunner Oscilloscopes</t>
    <phoneticPr fontId="3" type="noConversion"/>
  </si>
  <si>
    <t xml:space="preserve">00045-277-123-289	</t>
    <phoneticPr fontId="3" type="noConversion"/>
  </si>
  <si>
    <t xml:space="preserve">	Sensor Board</t>
    <phoneticPr fontId="3" type="noConversion"/>
  </si>
  <si>
    <t>PCI 슬롯 인식 불가 // Drvier 재설치</t>
    <phoneticPr fontId="3" type="noConversion"/>
  </si>
  <si>
    <t>김선일</t>
    <phoneticPr fontId="3" type="noConversion"/>
  </si>
  <si>
    <t xml:space="preserve">알람 ,전원 OUT / BOARD 교체 후 PIN ALL CLEANING </t>
    <phoneticPr fontId="3" type="noConversion"/>
  </si>
  <si>
    <t>CAMERA B/D/PVI</t>
    <phoneticPr fontId="3" type="noConversion"/>
  </si>
  <si>
    <t>AUTO FOCOCS CAMERA</t>
    <phoneticPr fontId="3" type="noConversion"/>
  </si>
  <si>
    <t>계근대</t>
    <phoneticPr fontId="3" type="noConversion"/>
  </si>
  <si>
    <t>수리 및 셋업 완료</t>
    <phoneticPr fontId="3" type="noConversion"/>
  </si>
  <si>
    <t>apc  ups  smart 750</t>
    <phoneticPr fontId="3" type="noConversion"/>
  </si>
  <si>
    <t>out</t>
    <phoneticPr fontId="3" type="noConversion"/>
  </si>
  <si>
    <t>OFF LINE-UPS</t>
    <phoneticPr fontId="3" type="noConversion"/>
  </si>
  <si>
    <t>IPI-322VE</t>
    <phoneticPr fontId="3" type="noConversion"/>
  </si>
  <si>
    <t>FAN OUT 전원 OUT // FAN 교체 후 퓨즈,보드 수리</t>
    <phoneticPr fontId="3" type="noConversion"/>
  </si>
  <si>
    <t>김교혁</t>
    <phoneticPr fontId="3" type="noConversion"/>
  </si>
  <si>
    <t>수리완료</t>
    <phoneticPr fontId="3" type="noConversion"/>
  </si>
  <si>
    <t>인사총무</t>
    <phoneticPr fontId="3" type="noConversion"/>
  </si>
  <si>
    <t>계근대</t>
    <phoneticPr fontId="3" type="noConversion"/>
  </si>
  <si>
    <t xml:space="preserve">A52 </t>
    <phoneticPr fontId="3" type="noConversion"/>
  </si>
  <si>
    <t>통신불량</t>
    <phoneticPr fontId="3" type="noConversion"/>
  </si>
  <si>
    <t>자체</t>
    <phoneticPr fontId="3" type="noConversion"/>
  </si>
  <si>
    <t>정기수</t>
    <phoneticPr fontId="3" type="noConversion"/>
  </si>
  <si>
    <t>이신희</t>
    <phoneticPr fontId="3" type="noConversion"/>
  </si>
  <si>
    <t>B</t>
    <phoneticPr fontId="3" type="noConversion"/>
  </si>
  <si>
    <t>2T2P</t>
    <phoneticPr fontId="3" type="noConversion"/>
  </si>
  <si>
    <t>K&amp;S Iconn</t>
    <phoneticPr fontId="3" type="noConversion"/>
  </si>
  <si>
    <t>자체</t>
    <phoneticPr fontId="3" type="noConversion"/>
  </si>
  <si>
    <t>정기수</t>
    <phoneticPr fontId="3" type="noConversion"/>
  </si>
  <si>
    <t>김재영</t>
    <phoneticPr fontId="3" type="noConversion"/>
  </si>
  <si>
    <t>BPFR B/D</t>
    <phoneticPr fontId="3" type="noConversion"/>
  </si>
  <si>
    <t>1번축 전원 안걸림</t>
    <phoneticPr fontId="3" type="noConversion"/>
  </si>
  <si>
    <t>한광식</t>
    <phoneticPr fontId="3" type="noConversion"/>
  </si>
  <si>
    <t>유완수</t>
    <phoneticPr fontId="3" type="noConversion"/>
  </si>
  <si>
    <t>C</t>
    <phoneticPr fontId="3" type="noConversion"/>
  </si>
  <si>
    <t>MONITOR</t>
    <phoneticPr fontId="3" type="noConversion"/>
  </si>
  <si>
    <t>DELL 19</t>
    <phoneticPr fontId="3" type="noConversion"/>
  </si>
  <si>
    <t>자체</t>
    <phoneticPr fontId="3" type="noConversion"/>
  </si>
  <si>
    <t>정기수</t>
    <phoneticPr fontId="3" type="noConversion"/>
  </si>
  <si>
    <t>EFO Time Out /수리 후 TEST 5대 진행</t>
    <phoneticPr fontId="3" type="noConversion"/>
  </si>
  <si>
    <t>폐기</t>
    <phoneticPr fontId="3" type="noConversion"/>
  </si>
  <si>
    <t xml:space="preserve">패널 out </t>
    <phoneticPr fontId="3" type="noConversion"/>
  </si>
  <si>
    <t>전명원</t>
    <phoneticPr fontId="3" type="noConversion"/>
  </si>
  <si>
    <t>수리완료</t>
    <phoneticPr fontId="3" type="noConversion"/>
  </si>
  <si>
    <t>EE</t>
    <phoneticPr fontId="3" type="noConversion"/>
  </si>
  <si>
    <t>EE1</t>
    <phoneticPr fontId="3" type="noConversion"/>
  </si>
  <si>
    <t>나르미</t>
    <phoneticPr fontId="3" type="noConversion"/>
  </si>
  <si>
    <t>IEC266/667 Series</t>
    <phoneticPr fontId="3" type="noConversion"/>
  </si>
  <si>
    <t>Touch Monitor</t>
    <phoneticPr fontId="3" type="noConversion"/>
  </si>
  <si>
    <t>터치 불량</t>
    <phoneticPr fontId="3" type="noConversion"/>
  </si>
  <si>
    <t>자체</t>
    <phoneticPr fontId="3" type="noConversion"/>
  </si>
  <si>
    <t>정기수</t>
    <phoneticPr fontId="3" type="noConversion"/>
  </si>
  <si>
    <t>107008</t>
    <phoneticPr fontId="3" type="noConversion"/>
  </si>
  <si>
    <t>F</t>
    <phoneticPr fontId="3" type="noConversion"/>
  </si>
  <si>
    <t>MONITOR</t>
    <phoneticPr fontId="3" type="noConversion"/>
  </si>
  <si>
    <t>L1742PEU</t>
    <phoneticPr fontId="3" type="noConversion"/>
  </si>
  <si>
    <t>선명도 떨어짐</t>
    <phoneticPr fontId="3" type="noConversion"/>
  </si>
  <si>
    <t>자체</t>
    <phoneticPr fontId="3" type="noConversion"/>
  </si>
  <si>
    <t>장현우</t>
    <phoneticPr fontId="3" type="noConversion"/>
  </si>
  <si>
    <t>UT3-15BX1RD-C</t>
    <phoneticPr fontId="3" type="noConversion"/>
  </si>
  <si>
    <t>김영현</t>
    <phoneticPr fontId="3" type="noConversion"/>
  </si>
  <si>
    <t>Hanmi</t>
    <phoneticPr fontId="3" type="noConversion"/>
  </si>
  <si>
    <t>Booting Fail // Win XP 복구 완료</t>
    <phoneticPr fontId="3" type="noConversion"/>
  </si>
  <si>
    <t>이성문</t>
    <phoneticPr fontId="3" type="noConversion"/>
  </si>
  <si>
    <t>수리완료</t>
    <phoneticPr fontId="3" type="noConversion"/>
  </si>
  <si>
    <t>IONIZER</t>
    <phoneticPr fontId="3" type="noConversion"/>
  </si>
  <si>
    <t>IPI-332</t>
    <phoneticPr fontId="3" type="noConversion"/>
  </si>
  <si>
    <t>ION 값 불량</t>
    <phoneticPr fontId="3" type="noConversion"/>
  </si>
  <si>
    <t>자체</t>
    <phoneticPr fontId="3" type="noConversion"/>
  </si>
  <si>
    <t>정기수</t>
    <phoneticPr fontId="3" type="noConversion"/>
  </si>
  <si>
    <t>EE</t>
    <phoneticPr fontId="3" type="noConversion"/>
  </si>
  <si>
    <t>EE1</t>
    <phoneticPr fontId="3" type="noConversion"/>
  </si>
  <si>
    <t>MONITOR</t>
    <phoneticPr fontId="3" type="noConversion"/>
  </si>
  <si>
    <t>빽업용</t>
    <phoneticPr fontId="3" type="noConversion"/>
  </si>
  <si>
    <t>이신희</t>
    <phoneticPr fontId="3" type="noConversion"/>
  </si>
  <si>
    <t>수리완료</t>
    <phoneticPr fontId="3" type="noConversion"/>
  </si>
  <si>
    <t>A</t>
    <phoneticPr fontId="3" type="noConversion"/>
  </si>
  <si>
    <t>1T3P</t>
    <phoneticPr fontId="3" type="noConversion"/>
  </si>
  <si>
    <t>K&amp;S Iconn</t>
    <phoneticPr fontId="3" type="noConversion"/>
  </si>
  <si>
    <t>bits agc</t>
    <phoneticPr fontId="3" type="noConversion"/>
  </si>
  <si>
    <t>자체</t>
    <phoneticPr fontId="3" type="noConversion"/>
  </si>
  <si>
    <t>정기수</t>
    <phoneticPr fontId="3" type="noConversion"/>
  </si>
  <si>
    <t>정기수</t>
    <phoneticPr fontId="3" type="noConversion"/>
  </si>
  <si>
    <t>유철호</t>
    <phoneticPr fontId="3" type="noConversion"/>
  </si>
  <si>
    <t>EE</t>
    <phoneticPr fontId="3" type="noConversion"/>
  </si>
  <si>
    <t>EE2</t>
    <phoneticPr fontId="3" type="noConversion"/>
  </si>
  <si>
    <t>error 9</t>
    <phoneticPr fontId="3" type="noConversion"/>
  </si>
  <si>
    <t>CUBA</t>
    <phoneticPr fontId="3" type="noConversion"/>
  </si>
  <si>
    <t>출력 X</t>
    <phoneticPr fontId="3" type="noConversion"/>
  </si>
  <si>
    <t>K4 인사총무</t>
    <phoneticPr fontId="3" type="noConversion"/>
  </si>
  <si>
    <t>기숙사 게이트 점검</t>
    <phoneticPr fontId="3" type="noConversion"/>
  </si>
  <si>
    <t>인식 불량 문제 점검 및 구리스 도포</t>
    <phoneticPr fontId="3" type="noConversion"/>
  </si>
  <si>
    <t>STEPPER B/D 4214</t>
    <phoneticPr fontId="3" type="noConversion"/>
  </si>
  <si>
    <t>권중식</t>
    <phoneticPr fontId="3" type="noConversion"/>
  </si>
  <si>
    <t>미화원 휴게실</t>
    <phoneticPr fontId="3" type="noConversion"/>
  </si>
  <si>
    <t>온도 제어기</t>
    <phoneticPr fontId="3" type="noConversion"/>
  </si>
  <si>
    <t>이엔아이</t>
    <phoneticPr fontId="3" type="noConversion"/>
  </si>
  <si>
    <t>플라소스</t>
    <phoneticPr fontId="3" type="noConversion"/>
  </si>
  <si>
    <t>BTS</t>
    <phoneticPr fontId="3" type="noConversion"/>
  </si>
  <si>
    <t>3&amp;B</t>
    <phoneticPr fontId="3" type="noConversion"/>
  </si>
  <si>
    <t>프리런</t>
    <phoneticPr fontId="3" type="noConversion"/>
  </si>
  <si>
    <t xml:space="preserve"> </t>
    <phoneticPr fontId="3" type="noConversion"/>
  </si>
  <si>
    <t>dell 장비 pc</t>
    <phoneticPr fontId="3" type="noConversion"/>
  </si>
  <si>
    <t xml:space="preserve">booting fail power out 교환 </t>
    <phoneticPr fontId="3" type="noConversion"/>
  </si>
  <si>
    <t>출력 전압 변동 / 내부 모든 콘덴서  교체</t>
    <phoneticPr fontId="3" type="noConversion"/>
  </si>
  <si>
    <t>B1-2</t>
    <phoneticPr fontId="3" type="noConversion"/>
  </si>
  <si>
    <t xml:space="preserve">전원 안들어옴 / SMPS(SP-310) 모든 콘덴서 교체 FET K2809 -&gt; RFP50N06 교체 </t>
    <phoneticPr fontId="3" type="noConversion"/>
  </si>
  <si>
    <t>PW-120D</t>
    <phoneticPr fontId="3" type="noConversion"/>
  </si>
  <si>
    <t>SPD B/D</t>
    <phoneticPr fontId="3" type="noConversion"/>
  </si>
  <si>
    <t>FUSE BURN</t>
    <phoneticPr fontId="3" type="noConversion"/>
  </si>
  <si>
    <t>Battery 통신 B/D</t>
    <phoneticPr fontId="3" type="noConversion"/>
  </si>
  <si>
    <t>BURN</t>
    <phoneticPr fontId="3" type="noConversion"/>
  </si>
  <si>
    <t>교육</t>
    <phoneticPr fontId="3" type="noConversion"/>
  </si>
  <si>
    <t xml:space="preserve">error on </t>
    <phoneticPr fontId="3" type="noConversion"/>
  </si>
  <si>
    <t>함성우</t>
    <phoneticPr fontId="3" type="noConversion"/>
  </si>
  <si>
    <t>로직스 마우스</t>
    <phoneticPr fontId="3" type="noConversion"/>
  </si>
  <si>
    <t>커서 안 움직이는 현상 / 분해하려 마우스 왼쪽 스위치 교정 후 조립</t>
    <phoneticPr fontId="3" type="noConversion"/>
  </si>
  <si>
    <t>DISCO 6361</t>
    <phoneticPr fontId="3" type="noConversion"/>
  </si>
  <si>
    <t>DYNASERVO PACK</t>
    <phoneticPr fontId="3" type="noConversion"/>
  </si>
  <si>
    <t xml:space="preserve">WBG </t>
    <phoneticPr fontId="3" type="noConversion"/>
  </si>
  <si>
    <t>PG3000rm</t>
    <phoneticPr fontId="3" type="noConversion"/>
  </si>
  <si>
    <t>VSP 5KVA  #5 #19 호기</t>
    <phoneticPr fontId="3" type="noConversion"/>
  </si>
  <si>
    <t xml:space="preserve">순간정전 대응 불량  SPAIR로 교체 </t>
    <phoneticPr fontId="3" type="noConversion"/>
  </si>
  <si>
    <t>전 전압 안 나옴  / 모든 콘덴서 교체</t>
    <phoneticPr fontId="3" type="noConversion"/>
  </si>
  <si>
    <t>00555506</t>
    <phoneticPr fontId="3" type="noConversion"/>
  </si>
  <si>
    <t>정기수</t>
    <phoneticPr fontId="3" type="noConversion"/>
  </si>
  <si>
    <t>Booting Fail</t>
    <phoneticPr fontId="3" type="noConversion"/>
  </si>
  <si>
    <t>K&amp;S Icon</t>
    <phoneticPr fontId="3" type="noConversion"/>
  </si>
  <si>
    <t>Bits Board</t>
    <phoneticPr fontId="3" type="noConversion"/>
  </si>
  <si>
    <t>AC Fail</t>
    <phoneticPr fontId="3" type="noConversion"/>
  </si>
  <si>
    <t>홍복희</t>
    <phoneticPr fontId="3" type="noConversion"/>
  </si>
  <si>
    <t>강명국</t>
    <phoneticPr fontId="3" type="noConversion"/>
  </si>
  <si>
    <t>TORAY</t>
    <phoneticPr fontId="3" type="noConversion"/>
  </si>
  <si>
    <t xml:space="preserve">TOUch 안됨 </t>
    <phoneticPr fontId="3" type="noConversion"/>
  </si>
  <si>
    <t>이동규</t>
    <phoneticPr fontId="3" type="noConversion"/>
  </si>
  <si>
    <t>PROTEC</t>
    <phoneticPr fontId="3" type="noConversion"/>
  </si>
  <si>
    <t>IMPACT POWER SUPPLY</t>
    <phoneticPr fontId="3" type="noConversion"/>
  </si>
  <si>
    <t>출력불량</t>
    <phoneticPr fontId="3" type="noConversion"/>
  </si>
  <si>
    <t>김경호</t>
    <phoneticPr fontId="3" type="noConversion"/>
  </si>
  <si>
    <t>1</t>
    <phoneticPr fontId="3" type="noConversion"/>
  </si>
  <si>
    <t>회로 응용 회로 판독법 및 이론지식 교육1</t>
    <phoneticPr fontId="3" type="noConversion"/>
  </si>
  <si>
    <t>회로 응용 회로 판독법 및 이론지식 교육2</t>
    <phoneticPr fontId="3" type="noConversion"/>
  </si>
  <si>
    <t>회로 응용 회로 판독법 및 이론지식 교육3</t>
    <phoneticPr fontId="3" type="noConversion"/>
  </si>
  <si>
    <t>회로 응용 회로 판독법 및 이론지식 교육4</t>
    <phoneticPr fontId="3" type="noConversion"/>
  </si>
  <si>
    <t>Oth</t>
  </si>
  <si>
    <t>정문 보안실</t>
  </si>
  <si>
    <t>Power Supply Out으로 인한 전원 안들어오는 증상</t>
  </si>
  <si>
    <t>DVR # 7</t>
    <phoneticPr fontId="3" type="noConversion"/>
  </si>
  <si>
    <t>수리 완료 후 장착 및 셋팅</t>
    <phoneticPr fontId="3" type="noConversion"/>
  </si>
  <si>
    <t>이민기</t>
    <phoneticPr fontId="3" type="noConversion"/>
  </si>
  <si>
    <t>공조기</t>
    <phoneticPr fontId="3" type="noConversion"/>
  </si>
  <si>
    <t>Main Control B/D</t>
    <phoneticPr fontId="3" type="noConversion"/>
  </si>
  <si>
    <t>Timer</t>
    <phoneticPr fontId="3" type="noConversion"/>
  </si>
  <si>
    <t>전혀 작동 안함 / 분해 크리닝 제 납땜후 조립</t>
    <phoneticPr fontId="3" type="noConversion"/>
  </si>
  <si>
    <t>전압 안정 장비</t>
    <phoneticPr fontId="3" type="noConversion"/>
  </si>
  <si>
    <t>한광식</t>
    <phoneticPr fontId="3" type="noConversion"/>
  </si>
  <si>
    <t>폐기</t>
    <phoneticPr fontId="3" type="noConversion"/>
  </si>
  <si>
    <t>F</t>
    <phoneticPr fontId="3" type="noConversion"/>
  </si>
  <si>
    <t>IPI-322</t>
    <phoneticPr fontId="3" type="noConversion"/>
  </si>
  <si>
    <t>Board 불량</t>
    <phoneticPr fontId="3" type="noConversion"/>
  </si>
  <si>
    <t>140601636</t>
    <phoneticPr fontId="3" type="noConversion"/>
  </si>
  <si>
    <t>자체</t>
    <phoneticPr fontId="3" type="noConversion"/>
  </si>
  <si>
    <t>정기수</t>
    <phoneticPr fontId="3" type="noConversion"/>
  </si>
  <si>
    <t>신덕우</t>
    <phoneticPr fontId="3" type="noConversion"/>
  </si>
  <si>
    <t>C</t>
    <phoneticPr fontId="3" type="noConversion"/>
  </si>
  <si>
    <t>SIMCO</t>
    <phoneticPr fontId="3" type="noConversion"/>
  </si>
  <si>
    <t>3T3P</t>
    <phoneticPr fontId="3" type="noConversion"/>
  </si>
  <si>
    <t>ION 값 불량</t>
    <phoneticPr fontId="3" type="noConversion"/>
  </si>
  <si>
    <t>*032540094312458*</t>
    <phoneticPr fontId="3" type="noConversion"/>
  </si>
  <si>
    <t>회로 응용 회로 판독법 및 이론지식 교육4</t>
    <phoneticPr fontId="3" type="noConversion"/>
  </si>
  <si>
    <t>HP Notebook</t>
    <phoneticPr fontId="3" type="noConversion"/>
  </si>
  <si>
    <t>JPA146LTZN</t>
    <phoneticPr fontId="3" type="noConversion"/>
  </si>
  <si>
    <t>전원 불안정 / 내부 콘덴서 교체 및 팬교체</t>
    <phoneticPr fontId="3" type="noConversion"/>
  </si>
  <si>
    <t>FBDGK09406</t>
    <phoneticPr fontId="3" type="noConversion"/>
  </si>
  <si>
    <t>DVR #7 점검 및 탈착</t>
    <phoneticPr fontId="3" type="noConversion"/>
  </si>
  <si>
    <t>sgda-01as</t>
    <phoneticPr fontId="3" type="noConversion"/>
  </si>
  <si>
    <t>sgda-02as</t>
  </si>
  <si>
    <t>servo pack</t>
    <phoneticPr fontId="3" type="noConversion"/>
  </si>
  <si>
    <t xml:space="preserve">para copy cable 제작 </t>
    <phoneticPr fontId="3" type="noConversion"/>
  </si>
  <si>
    <t xml:space="preserve">over current  ipm  교환 </t>
    <phoneticPr fontId="3" type="noConversion"/>
  </si>
  <si>
    <t>정기수</t>
    <phoneticPr fontId="3" type="noConversion"/>
  </si>
  <si>
    <t>UV 장비</t>
    <phoneticPr fontId="3" type="noConversion"/>
  </si>
  <si>
    <t>회로 응용 회로 판독법 및 이론지식 교육5</t>
    <phoneticPr fontId="3" type="noConversion"/>
  </si>
  <si>
    <t>후문 게이트</t>
    <phoneticPr fontId="3" type="noConversion"/>
  </si>
  <si>
    <t>전광판 수리 완료 및 문구 출력 셋팅 완료</t>
    <phoneticPr fontId="3" type="noConversion"/>
  </si>
  <si>
    <t>AI/O Board</t>
    <phoneticPr fontId="3" type="noConversion"/>
  </si>
  <si>
    <t>Update from Rev.3 to Rev.4</t>
    <phoneticPr fontId="3" type="noConversion"/>
  </si>
  <si>
    <t>AJ57100</t>
    <phoneticPr fontId="3" type="noConversion"/>
  </si>
  <si>
    <t>2SB546 TR Out, 교체 완료, 배터리 교체완료</t>
    <phoneticPr fontId="3" type="noConversion"/>
  </si>
  <si>
    <t>W/C 동작안함, Long Tail</t>
    <phoneticPr fontId="3" type="noConversion"/>
  </si>
  <si>
    <t>노동록</t>
    <phoneticPr fontId="3" type="noConversion"/>
  </si>
  <si>
    <t>2D TOP SORTER</t>
    <phoneticPr fontId="3" type="noConversion"/>
  </si>
  <si>
    <t>CPU FAN 불량</t>
    <phoneticPr fontId="3" type="noConversion"/>
  </si>
  <si>
    <t>최경철</t>
    <phoneticPr fontId="3" type="noConversion"/>
  </si>
  <si>
    <t>EE</t>
    <phoneticPr fontId="3" type="noConversion"/>
  </si>
  <si>
    <t>EE1</t>
    <phoneticPr fontId="3" type="noConversion"/>
  </si>
  <si>
    <t>UPS</t>
    <phoneticPr fontId="3" type="noConversion"/>
  </si>
  <si>
    <t>회로 응용 회로 판독법 및 이론지식 교육6</t>
    <phoneticPr fontId="3" type="noConversion"/>
  </si>
  <si>
    <t xml:space="preserve">programmble logic controller </t>
    <phoneticPr fontId="3" type="noConversion"/>
  </si>
  <si>
    <t>XGQ-TR8A</t>
    <phoneticPr fontId="3" type="noConversion"/>
  </si>
  <si>
    <t xml:space="preserve">SPAIR PARA COPY </t>
    <phoneticPr fontId="3" type="noConversion"/>
  </si>
  <si>
    <t>DIVERER</t>
    <phoneticPr fontId="3" type="noConversion"/>
  </si>
  <si>
    <t xml:space="preserve">전원 안나옴 / 모든 콘덴서 및 KA7915 교체 </t>
    <phoneticPr fontId="3" type="noConversion"/>
  </si>
  <si>
    <t>09123000311</t>
    <phoneticPr fontId="3" type="noConversion"/>
  </si>
  <si>
    <t>안세왕</t>
    <phoneticPr fontId="3" type="noConversion"/>
  </si>
  <si>
    <t>note book</t>
    <phoneticPr fontId="3" type="noConversion"/>
  </si>
  <si>
    <t>COMIZOA</t>
    <phoneticPr fontId="3" type="noConversion"/>
  </si>
  <si>
    <t>COMI-SD414</t>
    <phoneticPr fontId="3" type="noConversion"/>
  </si>
  <si>
    <t>EE</t>
    <phoneticPr fontId="3" type="noConversion"/>
  </si>
  <si>
    <t>EE2</t>
    <phoneticPr fontId="3" type="noConversion"/>
  </si>
  <si>
    <t>Power Supply Assy</t>
  </si>
  <si>
    <t>가동중 Power OFF</t>
    <phoneticPr fontId="3" type="noConversion"/>
  </si>
  <si>
    <t>EE</t>
    <phoneticPr fontId="3" type="noConversion"/>
  </si>
  <si>
    <t>EE1</t>
    <phoneticPr fontId="3" type="noConversion"/>
  </si>
  <si>
    <t>외주</t>
    <phoneticPr fontId="3" type="noConversion"/>
  </si>
  <si>
    <t>장은철</t>
    <phoneticPr fontId="3" type="noConversion"/>
  </si>
  <si>
    <t>COMI-LX508</t>
    <phoneticPr fontId="3" type="noConversion"/>
  </si>
  <si>
    <t>COMI-CP302</t>
    <phoneticPr fontId="3" type="noConversion"/>
  </si>
  <si>
    <t>폐기</t>
    <phoneticPr fontId="3" type="noConversion"/>
  </si>
  <si>
    <t>F</t>
    <phoneticPr fontId="3" type="noConversion"/>
  </si>
  <si>
    <t>5T1P</t>
    <phoneticPr fontId="3" type="noConversion"/>
  </si>
  <si>
    <t>IONIZER</t>
    <phoneticPr fontId="3" type="noConversion"/>
  </si>
  <si>
    <t>SIMCO</t>
    <phoneticPr fontId="3" type="noConversion"/>
  </si>
  <si>
    <t>알람</t>
    <phoneticPr fontId="3" type="noConversion"/>
  </si>
  <si>
    <t>자체</t>
    <phoneticPr fontId="3" type="noConversion"/>
  </si>
  <si>
    <t>정기수</t>
    <phoneticPr fontId="3" type="noConversion"/>
  </si>
  <si>
    <t>error 해지안됨 680uf 16v</t>
    <phoneticPr fontId="3" type="noConversion"/>
  </si>
  <si>
    <t>IO ERROR  ic2007</t>
    <phoneticPr fontId="3" type="noConversion"/>
  </si>
  <si>
    <t xml:space="preserve">E9 ERROR 7800 / zener diode </t>
    <phoneticPr fontId="3" type="noConversion"/>
  </si>
  <si>
    <t>i-87018pw</t>
    <phoneticPr fontId="3" type="noConversion"/>
  </si>
  <si>
    <t xml:space="preserve">plc controller </t>
    <phoneticPr fontId="3" type="noConversion"/>
  </si>
  <si>
    <t xml:space="preserve">io 불량 </t>
    <phoneticPr fontId="3" type="noConversion"/>
  </si>
  <si>
    <t>이성문</t>
    <phoneticPr fontId="3" type="noConversion"/>
  </si>
  <si>
    <t>OTP 장비</t>
    <phoneticPr fontId="3" type="noConversion"/>
  </si>
  <si>
    <t>CAN B/D</t>
    <phoneticPr fontId="3" type="noConversion"/>
  </si>
  <si>
    <t>전압 불안정</t>
    <phoneticPr fontId="3" type="noConversion"/>
  </si>
  <si>
    <t>홍복희</t>
    <phoneticPr fontId="3" type="noConversion"/>
  </si>
  <si>
    <t>수리완료</t>
    <phoneticPr fontId="3" type="noConversion"/>
  </si>
  <si>
    <t>자체</t>
    <phoneticPr fontId="3" type="noConversion"/>
  </si>
  <si>
    <t>정기수</t>
    <phoneticPr fontId="3" type="noConversion"/>
  </si>
  <si>
    <t>회로 응용 회로 판독법 및 이론지식 교육7</t>
    <phoneticPr fontId="3" type="noConversion"/>
  </si>
  <si>
    <t>회로 응용 회로 판독법 및 이론지식 교육7</t>
    <phoneticPr fontId="3" type="noConversion"/>
  </si>
  <si>
    <t>유성학</t>
    <phoneticPr fontId="3" type="noConversion"/>
  </si>
  <si>
    <t>K&amp;S Iconn</t>
    <phoneticPr fontId="3" type="noConversion"/>
  </si>
  <si>
    <t>X-Y AMP</t>
    <phoneticPr fontId="3" type="noConversion"/>
  </si>
  <si>
    <t>박영준</t>
    <phoneticPr fontId="3" type="noConversion"/>
  </si>
  <si>
    <t>506650523011</t>
    <phoneticPr fontId="3" type="noConversion"/>
  </si>
  <si>
    <t>Hang Up</t>
    <phoneticPr fontId="3" type="noConversion"/>
  </si>
  <si>
    <t>msda023a1a</t>
    <phoneticPr fontId="3" type="noConversion"/>
  </si>
  <si>
    <t>전원차단 (over road)</t>
    <phoneticPr fontId="3" type="noConversion"/>
  </si>
  <si>
    <t>회로 응용 회로 판독법 및 이론지식 교육8</t>
    <phoneticPr fontId="3" type="noConversion"/>
  </si>
  <si>
    <t>MONITOR</t>
    <phoneticPr fontId="3" type="noConversion"/>
  </si>
  <si>
    <t>SINETIC</t>
    <phoneticPr fontId="3" type="noConversion"/>
  </si>
  <si>
    <t>TOUCH 불량</t>
    <phoneticPr fontId="3" type="noConversion"/>
  </si>
  <si>
    <t>자체</t>
    <phoneticPr fontId="3" type="noConversion"/>
  </si>
  <si>
    <t>정기수</t>
    <phoneticPr fontId="3" type="noConversion"/>
  </si>
  <si>
    <t>홍복희</t>
    <phoneticPr fontId="3" type="noConversion"/>
  </si>
  <si>
    <t>F</t>
    <phoneticPr fontId="3" type="noConversion"/>
  </si>
  <si>
    <t>5T2P</t>
    <phoneticPr fontId="3" type="noConversion"/>
  </si>
  <si>
    <t>IPI-322VE</t>
    <phoneticPr fontId="3" type="noConversion"/>
  </si>
  <si>
    <t>오재효</t>
    <phoneticPr fontId="3" type="noConversion"/>
  </si>
  <si>
    <t>A</t>
    <phoneticPr fontId="3" type="noConversion"/>
  </si>
  <si>
    <t>1T4P</t>
    <phoneticPr fontId="3" type="noConversion"/>
  </si>
  <si>
    <t>MOLD</t>
    <phoneticPr fontId="3" type="noConversion"/>
  </si>
  <si>
    <t>Semisys</t>
    <phoneticPr fontId="3" type="noConversion"/>
  </si>
  <si>
    <t>초기화 X</t>
    <phoneticPr fontId="3" type="noConversion"/>
  </si>
  <si>
    <t>동작시 떨림 발생</t>
    <phoneticPr fontId="3" type="noConversion"/>
  </si>
  <si>
    <t>김상권</t>
    <phoneticPr fontId="3" type="noConversion"/>
  </si>
  <si>
    <t>GENMARK ROBOT</t>
    <phoneticPr fontId="3" type="noConversion"/>
  </si>
  <si>
    <t>PREAL IGNER INTERFACE</t>
    <phoneticPr fontId="3" type="noConversion"/>
  </si>
  <si>
    <t>c shild</t>
    <phoneticPr fontId="3" type="noConversion"/>
  </si>
  <si>
    <t>전원 안들어옴 2a</t>
    <phoneticPr fontId="3" type="noConversion"/>
  </si>
  <si>
    <t xml:space="preserve">vacuum &amp;motor controller </t>
    <phoneticPr fontId="3" type="noConversion"/>
  </si>
  <si>
    <t>양승윤</t>
    <phoneticPr fontId="3" type="noConversion"/>
  </si>
  <si>
    <t>Innomax</t>
    <phoneticPr fontId="3" type="noConversion"/>
  </si>
  <si>
    <t>LOAD PORT</t>
    <phoneticPr fontId="3" type="noConversion"/>
  </si>
  <si>
    <t>16334a</t>
    <phoneticPr fontId="3" type="noConversion"/>
  </si>
  <si>
    <t>keysight test fixture 5hz~15mhz</t>
    <phoneticPr fontId="3" type="noConversion"/>
  </si>
  <si>
    <t xml:space="preserve">overload </t>
    <phoneticPr fontId="3" type="noConversion"/>
  </si>
  <si>
    <t>B20170200010606</t>
    <phoneticPr fontId="3" type="noConversion"/>
  </si>
  <si>
    <t>STI Maxx</t>
    <phoneticPr fontId="3" type="noConversion"/>
  </si>
  <si>
    <t>C01619A</t>
    <phoneticPr fontId="3" type="noConversion"/>
  </si>
  <si>
    <t>Post Sealing Light</t>
    <phoneticPr fontId="3" type="noConversion"/>
  </si>
  <si>
    <t>LED 72ea out / New LED change</t>
    <phoneticPr fontId="3" type="noConversion"/>
  </si>
  <si>
    <t>08-79554-02-351 r00</t>
    <phoneticPr fontId="3" type="noConversion"/>
  </si>
  <si>
    <t>F/C</t>
    <phoneticPr fontId="3" type="noConversion"/>
  </si>
  <si>
    <t>HELLER INDUSTRIES B/D</t>
    <phoneticPr fontId="3" type="noConversion"/>
  </si>
  <si>
    <t>간혈적 통신 끊김</t>
    <phoneticPr fontId="3" type="noConversion"/>
  </si>
  <si>
    <t>한광식</t>
    <phoneticPr fontId="3" type="noConversion"/>
  </si>
  <si>
    <t>SYSTEM PC</t>
    <phoneticPr fontId="3" type="noConversion"/>
  </si>
  <si>
    <t>OS설치</t>
    <phoneticPr fontId="3" type="noConversion"/>
  </si>
  <si>
    <t>부팅시 화면 색갈이 변하고 다운 제부팅 됨 / 그래픽 카드 교체</t>
    <phoneticPr fontId="3" type="noConversion"/>
  </si>
  <si>
    <t>PC (Dell Precision T3500)</t>
    <phoneticPr fontId="3" type="noConversion"/>
  </si>
  <si>
    <t>6RLSX4J</t>
    <phoneticPr fontId="3" type="noConversion"/>
  </si>
  <si>
    <t>김환묵</t>
    <phoneticPr fontId="3" type="noConversion"/>
  </si>
  <si>
    <t>L/ABL</t>
    <phoneticPr fontId="3" type="noConversion"/>
  </si>
  <si>
    <t>CSDL04AA00-ML-A</t>
    <phoneticPr fontId="3" type="noConversion"/>
  </si>
  <si>
    <t xml:space="preserve">burn OUT 연기남 </t>
    <phoneticPr fontId="3" type="noConversion"/>
  </si>
  <si>
    <t xml:space="preserve">error 52 :주전원이 낮음 </t>
    <phoneticPr fontId="3" type="noConversion"/>
  </si>
  <si>
    <t>회로 응용 회로 판독법 및 이론지식 교육9</t>
    <phoneticPr fontId="3" type="noConversion"/>
  </si>
  <si>
    <t>회로 응용 회로 판독법 및 이론지식 교육10</t>
    <phoneticPr fontId="3" type="noConversion"/>
  </si>
  <si>
    <t>유성학</t>
    <phoneticPr fontId="3" type="noConversion"/>
  </si>
  <si>
    <t>B</t>
    <phoneticPr fontId="3" type="noConversion"/>
  </si>
  <si>
    <t>2T2P</t>
    <phoneticPr fontId="3" type="noConversion"/>
  </si>
  <si>
    <t>ESEC2100</t>
    <phoneticPr fontId="3" type="noConversion"/>
  </si>
  <si>
    <t>Rotain Board</t>
    <phoneticPr fontId="3" type="noConversion"/>
  </si>
  <si>
    <t>ATJ</t>
    <phoneticPr fontId="3" type="noConversion"/>
  </si>
  <si>
    <t xml:space="preserve">Z_NODE ASSEMBLY </t>
  </si>
  <si>
    <t xml:space="preserve">IMAGE PROCESSING VISION ASSEMBLY </t>
  </si>
  <si>
    <t xml:space="preserve">PCOAB BOARD </t>
  </si>
  <si>
    <t xml:space="preserve">CAMERA HEAD </t>
  </si>
  <si>
    <t>장은철</t>
    <phoneticPr fontId="3" type="noConversion"/>
  </si>
  <si>
    <t>허준영</t>
    <phoneticPr fontId="3" type="noConversion"/>
  </si>
  <si>
    <t>정기수</t>
    <phoneticPr fontId="3" type="noConversion"/>
  </si>
  <si>
    <t>SGDV-1R6A010a</t>
    <phoneticPr fontId="3" type="noConversion"/>
  </si>
  <si>
    <t xml:space="preserve">spark 발생  후 O/L  GOOD SPAIR 인계 </t>
    <phoneticPr fontId="3" type="noConversion"/>
  </si>
  <si>
    <t>ATJ</t>
  </si>
  <si>
    <t>정재용</t>
    <phoneticPr fontId="3" type="noConversion"/>
  </si>
  <si>
    <t>NSOL</t>
    <phoneticPr fontId="3" type="noConversion"/>
  </si>
  <si>
    <t>이중학</t>
    <phoneticPr fontId="3" type="noConversion"/>
  </si>
  <si>
    <t>ALLS-1440S</t>
    <phoneticPr fontId="3" type="noConversion"/>
  </si>
  <si>
    <t>ADVANTECH PC</t>
    <phoneticPr fontId="3" type="noConversion"/>
  </si>
  <si>
    <t xml:space="preserve">BOOTING FAIL </t>
    <phoneticPr fontId="3" type="noConversion"/>
  </si>
  <si>
    <t>BUMP</t>
    <phoneticPr fontId="3" type="noConversion"/>
  </si>
  <si>
    <t>Illuminator Box</t>
    <phoneticPr fontId="3" type="noConversion"/>
  </si>
  <si>
    <t>동작 안함</t>
    <phoneticPr fontId="3" type="noConversion"/>
  </si>
  <si>
    <t>innomax Flux Cleaner</t>
    <phoneticPr fontId="3" type="noConversion"/>
  </si>
  <si>
    <t>Brooks Load B/D</t>
    <phoneticPr fontId="3" type="noConversion"/>
  </si>
  <si>
    <t>INITIAL 안됨</t>
    <phoneticPr fontId="3" type="noConversion"/>
  </si>
  <si>
    <t>물류</t>
    <phoneticPr fontId="3" type="noConversion"/>
  </si>
  <si>
    <t>Adapter Out</t>
    <phoneticPr fontId="3" type="noConversion"/>
  </si>
  <si>
    <t>윤교한</t>
    <phoneticPr fontId="3" type="noConversion"/>
  </si>
  <si>
    <t>disco 2000D</t>
    <phoneticPr fontId="3" type="noConversion"/>
  </si>
  <si>
    <t>회로 응용 회로 판독법 및 이론지식 교육11</t>
    <phoneticPr fontId="3" type="noConversion"/>
  </si>
  <si>
    <t>회로 응용 회로 판독법 및 이론지식 교육11</t>
    <phoneticPr fontId="3" type="noConversion"/>
  </si>
  <si>
    <t xml:space="preserve">DVR # 7 </t>
    <phoneticPr fontId="3" type="noConversion"/>
  </si>
  <si>
    <t xml:space="preserve">CCTV </t>
    <phoneticPr fontId="3" type="noConversion"/>
  </si>
  <si>
    <t>CCTV</t>
    <phoneticPr fontId="3" type="noConversion"/>
  </si>
  <si>
    <t>DVR #7 하드 장착 및 점검</t>
  </si>
  <si>
    <t>DVR #7 하드 장착 및 점검</t>
    <phoneticPr fontId="3" type="noConversion"/>
  </si>
  <si>
    <t>Board 교체 및 점검</t>
    <phoneticPr fontId="3" type="noConversion"/>
  </si>
  <si>
    <t>sigration</t>
    <phoneticPr fontId="3" type="noConversion"/>
  </si>
  <si>
    <t>SGDM-04ADA</t>
    <phoneticPr fontId="3" type="noConversion"/>
  </si>
  <si>
    <t>YASKAWA AC SERVO DRIVER</t>
    <phoneticPr fontId="3" type="noConversion"/>
  </si>
  <si>
    <t>유창환</t>
    <phoneticPr fontId="3" type="noConversion"/>
  </si>
  <si>
    <t>UPS</t>
    <phoneticPr fontId="3" type="noConversion"/>
  </si>
  <si>
    <t>SPT</t>
    <phoneticPr fontId="3" type="noConversion"/>
  </si>
  <si>
    <t>배터리 교체</t>
    <phoneticPr fontId="3" type="noConversion"/>
  </si>
  <si>
    <t>이신희</t>
    <phoneticPr fontId="3" type="noConversion"/>
  </si>
  <si>
    <t>A</t>
    <phoneticPr fontId="3" type="noConversion"/>
  </si>
  <si>
    <t>1T3P</t>
    <phoneticPr fontId="3" type="noConversion"/>
  </si>
  <si>
    <t>Wire Bonding</t>
    <phoneticPr fontId="3" type="noConversion"/>
  </si>
  <si>
    <t>K&amp;S Iconn Plus</t>
    <phoneticPr fontId="3" type="noConversion"/>
  </si>
  <si>
    <t>PCOAB</t>
    <phoneticPr fontId="3" type="noConversion"/>
  </si>
  <si>
    <t>Booting x 프로그램 설치 x</t>
    <phoneticPr fontId="3" type="noConversion"/>
  </si>
  <si>
    <t>자체</t>
    <phoneticPr fontId="3" type="noConversion"/>
  </si>
  <si>
    <t>정기수</t>
    <phoneticPr fontId="3" type="noConversion"/>
  </si>
  <si>
    <t xml:space="preserve"> (over road)</t>
    <phoneticPr fontId="3" type="noConversion"/>
  </si>
  <si>
    <t>SETUP PROGRAM 설치 cable MODIFY PRINT ---&gt;232변환  ALL C PARA COPY시 DISPLAY off됨 정상</t>
    <phoneticPr fontId="3" type="noConversion"/>
  </si>
  <si>
    <t xml:space="preserve">K&amp;S Iconn </t>
    <phoneticPr fontId="3" type="noConversion"/>
  </si>
  <si>
    <t>회로 응용 회로 판독법 및 이론지식 교육12</t>
    <phoneticPr fontId="3" type="noConversion"/>
  </si>
  <si>
    <t>김현만</t>
    <phoneticPr fontId="3" type="noConversion"/>
  </si>
  <si>
    <t xml:space="preserve">QUANTURM POWER SUPPLY </t>
    <phoneticPr fontId="3" type="noConversion"/>
  </si>
  <si>
    <t>출력안나옴/ D FET CONDENSER</t>
    <phoneticPr fontId="3" type="noConversion"/>
  </si>
  <si>
    <t>DHP480-24-1</t>
    <phoneticPr fontId="3" type="noConversion"/>
  </si>
  <si>
    <t>신현섭</t>
    <phoneticPr fontId="3" type="noConversion"/>
  </si>
  <si>
    <t>F/C</t>
    <phoneticPr fontId="3" type="noConversion"/>
  </si>
  <si>
    <t>VISION B/D</t>
    <phoneticPr fontId="3" type="noConversion"/>
  </si>
  <si>
    <t xml:space="preserve">Lid/A </t>
  </si>
  <si>
    <t xml:space="preserve">Lid/A </t>
    <phoneticPr fontId="3" type="noConversion"/>
  </si>
  <si>
    <t>P57-MCTMP (TEMP B/D)</t>
    <phoneticPr fontId="3" type="noConversion"/>
  </si>
  <si>
    <t xml:space="preserve">z down /고압 module repair </t>
    <phoneticPr fontId="3" type="noConversion"/>
  </si>
  <si>
    <t>KA33832</t>
    <phoneticPr fontId="3" type="noConversion"/>
  </si>
  <si>
    <t>장원선</t>
    <phoneticPr fontId="3" type="noConversion"/>
  </si>
  <si>
    <t>SGDV-2R9E11A</t>
    <phoneticPr fontId="3" type="noConversion"/>
  </si>
  <si>
    <t>알람 발생</t>
    <phoneticPr fontId="3" type="noConversion"/>
  </si>
  <si>
    <t>오현철</t>
    <phoneticPr fontId="3" type="noConversion"/>
  </si>
  <si>
    <t>QA</t>
    <phoneticPr fontId="3" type="noConversion"/>
  </si>
  <si>
    <t>IPI-332</t>
    <phoneticPr fontId="3" type="noConversion"/>
  </si>
  <si>
    <t xml:space="preserve">점검 및 수리 </t>
    <phoneticPr fontId="3" type="noConversion"/>
  </si>
  <si>
    <t>자체</t>
    <phoneticPr fontId="3" type="noConversion"/>
  </si>
  <si>
    <t>정기수</t>
    <phoneticPr fontId="3" type="noConversion"/>
  </si>
  <si>
    <t>김진만</t>
    <phoneticPr fontId="3" type="noConversion"/>
  </si>
  <si>
    <t>SIMCO</t>
    <phoneticPr fontId="3" type="noConversion"/>
  </si>
  <si>
    <t>ION 값 불량</t>
    <phoneticPr fontId="3" type="noConversion"/>
  </si>
  <si>
    <t>김재영</t>
    <phoneticPr fontId="3" type="noConversion"/>
  </si>
  <si>
    <t>A</t>
    <phoneticPr fontId="3" type="noConversion"/>
  </si>
  <si>
    <t>1T4P</t>
    <phoneticPr fontId="3" type="noConversion"/>
  </si>
  <si>
    <t>알람 발생</t>
    <phoneticPr fontId="3" type="noConversion"/>
  </si>
  <si>
    <t>김정훈</t>
    <phoneticPr fontId="3" type="noConversion"/>
  </si>
  <si>
    <t>B</t>
    <phoneticPr fontId="3" type="noConversion"/>
  </si>
  <si>
    <t>2T3P</t>
    <phoneticPr fontId="3" type="noConversion"/>
  </si>
  <si>
    <t>IPI-332</t>
    <phoneticPr fontId="3" type="noConversion"/>
  </si>
  <si>
    <t>장은철</t>
    <phoneticPr fontId="3" type="noConversion"/>
  </si>
  <si>
    <t>정기수</t>
    <phoneticPr fontId="3" type="noConversion"/>
  </si>
  <si>
    <t>회로 응용 회로 판독법 및 이론지식 교육13</t>
    <phoneticPr fontId="3" type="noConversion"/>
  </si>
  <si>
    <t>AC SERVO DRIVER</t>
    <phoneticPr fontId="3" type="noConversion"/>
  </si>
  <si>
    <t>mr-j3-20a</t>
    <phoneticPr fontId="3" type="noConversion"/>
  </si>
  <si>
    <t xml:space="preserve">전원 off 됨 </t>
    <phoneticPr fontId="3" type="noConversion"/>
  </si>
  <si>
    <t>TEST TNR</t>
    <phoneticPr fontId="3" type="noConversion"/>
  </si>
  <si>
    <t>P</t>
    <phoneticPr fontId="3" type="noConversion"/>
  </si>
  <si>
    <t>1T1P</t>
    <phoneticPr fontId="3" type="noConversion"/>
  </si>
  <si>
    <t>1T1</t>
    <phoneticPr fontId="3" type="noConversion"/>
  </si>
  <si>
    <t>XGP-ACF1</t>
    <phoneticPr fontId="3" type="noConversion"/>
  </si>
  <si>
    <t>PLC Power supply</t>
    <phoneticPr fontId="3" type="noConversion"/>
  </si>
  <si>
    <t>11030709201</t>
    <phoneticPr fontId="3" type="noConversion"/>
  </si>
  <si>
    <t>SCREEN</t>
    <phoneticPr fontId="3" type="noConversion"/>
  </si>
  <si>
    <t>SJ1238HA2</t>
    <phoneticPr fontId="3" type="noConversion"/>
  </si>
  <si>
    <t>AC FAN</t>
    <phoneticPr fontId="3" type="noConversion"/>
  </si>
  <si>
    <t>thdma 심하고 회전 속도 낮음 / 분해하여 크리닝 후 제조립</t>
    <phoneticPr fontId="3" type="noConversion"/>
  </si>
  <si>
    <t xml:space="preserve">3rd screen rail motor driver </t>
    <phoneticPr fontId="3" type="noConversion"/>
  </si>
  <si>
    <t xml:space="preserve">전원 out  driver ic sla2702 f 4a all c 교환 </t>
    <phoneticPr fontId="3" type="noConversion"/>
  </si>
  <si>
    <t>Step motor driver</t>
    <phoneticPr fontId="3" type="noConversion"/>
  </si>
  <si>
    <t>출력 불안정 / 12V 콘덴서 교체</t>
    <phoneticPr fontId="3" type="noConversion"/>
  </si>
  <si>
    <t>FBFGE03650</t>
    <phoneticPr fontId="3" type="noConversion"/>
  </si>
  <si>
    <t>최경철</t>
    <phoneticPr fontId="3" type="noConversion"/>
  </si>
  <si>
    <t>scan</t>
    <phoneticPr fontId="3" type="noConversion"/>
  </si>
  <si>
    <t>LI-T130</t>
    <phoneticPr fontId="3" type="noConversion"/>
  </si>
  <si>
    <t>Motion Offload B/D</t>
    <phoneticPr fontId="3" type="noConversion"/>
  </si>
  <si>
    <t>IPI-322</t>
    <phoneticPr fontId="3" type="noConversion"/>
  </si>
  <si>
    <t>ION 값 불량</t>
    <phoneticPr fontId="3" type="noConversion"/>
  </si>
  <si>
    <t>자체</t>
    <phoneticPr fontId="3" type="noConversion"/>
  </si>
  <si>
    <t>정기수</t>
    <phoneticPr fontId="3" type="noConversion"/>
  </si>
  <si>
    <t>회로 응용 회로 판독법 및 이론지식 교육14</t>
    <phoneticPr fontId="3" type="noConversion"/>
  </si>
  <si>
    <t>진승리</t>
    <phoneticPr fontId="3" type="noConversion"/>
  </si>
  <si>
    <t>EE</t>
    <phoneticPr fontId="3" type="noConversion"/>
  </si>
  <si>
    <t>EE1</t>
    <phoneticPr fontId="3" type="noConversion"/>
  </si>
  <si>
    <t>N/A</t>
    <phoneticPr fontId="3" type="noConversion"/>
  </si>
  <si>
    <t>VENUSTA HQ</t>
    <phoneticPr fontId="3" type="noConversion"/>
  </si>
  <si>
    <t>머신기</t>
    <phoneticPr fontId="3" type="noConversion"/>
  </si>
  <si>
    <t>클리닝</t>
    <phoneticPr fontId="3" type="noConversion"/>
  </si>
  <si>
    <t>외주</t>
    <phoneticPr fontId="3" type="noConversion"/>
  </si>
  <si>
    <t>장은철</t>
    <phoneticPr fontId="3" type="noConversion"/>
  </si>
  <si>
    <t>김종한</t>
  </si>
  <si>
    <t>포커스 못 맞춤 / 전원부 보드 교체</t>
    <phoneticPr fontId="3" type="noConversion"/>
  </si>
  <si>
    <t>포커스 못 맞춤 / 모터 콘트롤 칩 교체</t>
    <phoneticPr fontId="3" type="noConversion"/>
  </si>
  <si>
    <t>00704</t>
    <phoneticPr fontId="3" type="noConversion"/>
  </si>
  <si>
    <t>DA-48M12</t>
    <phoneticPr fontId="3" type="noConversion"/>
  </si>
  <si>
    <t xml:space="preserve">전원 안나옴 </t>
    <phoneticPr fontId="3" type="noConversion"/>
  </si>
  <si>
    <t>Y321208205001490400</t>
    <phoneticPr fontId="3" type="noConversion"/>
  </si>
  <si>
    <t>fan 안돌아감, 고압 out</t>
    <phoneticPr fontId="3" type="noConversion"/>
  </si>
  <si>
    <t>이신희</t>
    <phoneticPr fontId="3" type="noConversion"/>
  </si>
  <si>
    <t>A</t>
    <phoneticPr fontId="3" type="noConversion"/>
  </si>
  <si>
    <t>A</t>
    <phoneticPr fontId="3" type="noConversion"/>
  </si>
  <si>
    <t>wire bonding</t>
    <phoneticPr fontId="3" type="noConversion"/>
  </si>
  <si>
    <t>K&amp;S Iconn</t>
    <phoneticPr fontId="3" type="noConversion"/>
  </si>
  <si>
    <t>K&amp;S Iconn plus</t>
    <phoneticPr fontId="3" type="noConversion"/>
  </si>
  <si>
    <t>bits AGC</t>
    <phoneticPr fontId="3" type="noConversion"/>
  </si>
  <si>
    <t>정기수</t>
    <phoneticPr fontId="3" type="noConversion"/>
  </si>
  <si>
    <t>B1740R</t>
    <phoneticPr fontId="3" type="noConversion"/>
  </si>
  <si>
    <t>touch 불안정 / 드라이브 보드 교체</t>
    <phoneticPr fontId="3" type="noConversion"/>
  </si>
  <si>
    <t>V8A9H4LC600716R</t>
    <phoneticPr fontId="3" type="noConversion"/>
  </si>
  <si>
    <t>장용석</t>
    <phoneticPr fontId="3" type="noConversion"/>
  </si>
  <si>
    <t>QA</t>
    <phoneticPr fontId="3" type="noConversion"/>
  </si>
  <si>
    <t>FA Lab</t>
    <phoneticPr fontId="3" type="noConversion"/>
  </si>
  <si>
    <t>SEM Joystick</t>
    <phoneticPr fontId="3" type="noConversion"/>
  </si>
  <si>
    <t>n/a</t>
    <phoneticPr fontId="3" type="noConversion"/>
  </si>
  <si>
    <t>y축 안됨</t>
    <phoneticPr fontId="3" type="noConversion"/>
  </si>
  <si>
    <t>자체</t>
    <phoneticPr fontId="3" type="noConversion"/>
  </si>
  <si>
    <t>정기수</t>
    <phoneticPr fontId="3" type="noConversion"/>
  </si>
  <si>
    <t>전원 출력 정상이나 연결하면 다운 / 전류 제어회로 칩 2개 교체</t>
    <phoneticPr fontId="3" type="noConversion"/>
  </si>
  <si>
    <t>고규식</t>
    <phoneticPr fontId="3" type="noConversion"/>
  </si>
  <si>
    <t>ALGO ALDA04M-2</t>
    <phoneticPr fontId="3" type="noConversion"/>
  </si>
  <si>
    <t>Light 조절안됨</t>
    <phoneticPr fontId="3" type="noConversion"/>
  </si>
  <si>
    <t>Wire Clamp 동작불량, Long Tail</t>
    <phoneticPr fontId="3" type="noConversion"/>
  </si>
  <si>
    <t>회로 응용 회로 판독법 및 이론지식 교육15</t>
    <phoneticPr fontId="3" type="noConversion"/>
  </si>
  <si>
    <t>회로 응용 회로 판독법 및 이론지식 교육16</t>
    <phoneticPr fontId="3" type="noConversion"/>
  </si>
  <si>
    <t>회로 응용 회로 판독법 및 이론지식 교육17</t>
    <phoneticPr fontId="3" type="noConversion"/>
  </si>
  <si>
    <t>Dage-2400</t>
    <phoneticPr fontId="3" type="noConversion"/>
  </si>
  <si>
    <t>Keyboard &amp; printer</t>
    <phoneticPr fontId="3" type="noConversion"/>
  </si>
  <si>
    <t>양승윤</t>
    <phoneticPr fontId="3" type="noConversion"/>
  </si>
  <si>
    <t>SRD</t>
    <phoneticPr fontId="3" type="noConversion"/>
  </si>
  <si>
    <t>SEMITOOL PSC-102</t>
    <phoneticPr fontId="3" type="noConversion"/>
  </si>
  <si>
    <t>all</t>
    <phoneticPr fontId="3" type="noConversion"/>
  </si>
  <si>
    <t>충전기</t>
    <phoneticPr fontId="3" type="noConversion"/>
  </si>
  <si>
    <t>나르미</t>
    <phoneticPr fontId="3" type="noConversion"/>
  </si>
  <si>
    <t>전명원</t>
    <phoneticPr fontId="3" type="noConversion"/>
  </si>
  <si>
    <t>이성곤</t>
    <phoneticPr fontId="3" type="noConversion"/>
  </si>
  <si>
    <t xml:space="preserve">Lid attach </t>
  </si>
  <si>
    <t>SGDM-A5ADA</t>
  </si>
  <si>
    <t>이상준</t>
    <phoneticPr fontId="3" type="noConversion"/>
  </si>
  <si>
    <t>SERVO PACK</t>
    <phoneticPr fontId="3" type="noConversion"/>
  </si>
  <si>
    <t>PB1D003R101</t>
    <phoneticPr fontId="3" type="noConversion"/>
  </si>
  <si>
    <t>간혈적 Down</t>
    <phoneticPr fontId="3" type="noConversion"/>
  </si>
  <si>
    <t>파워 불량</t>
    <phoneticPr fontId="3" type="noConversion"/>
  </si>
  <si>
    <t>D070011H07107</t>
    <phoneticPr fontId="3" type="noConversion"/>
  </si>
  <si>
    <t>키보드 안먹음</t>
    <phoneticPr fontId="3" type="noConversion"/>
  </si>
  <si>
    <t>회로 응용 회로 판독법 및 이론지식 교육18</t>
    <phoneticPr fontId="3" type="noConversion"/>
  </si>
  <si>
    <t>OPTIPLEXPLEX GX270</t>
    <phoneticPr fontId="3" type="noConversion"/>
  </si>
  <si>
    <t>Dell DHM</t>
    <phoneticPr fontId="3" type="noConversion"/>
  </si>
  <si>
    <t>motherboard</t>
    <phoneticPr fontId="3" type="noConversion"/>
  </si>
  <si>
    <t>부팅후 10초후 꺼짐 /</t>
    <phoneticPr fontId="3" type="noConversion"/>
  </si>
  <si>
    <t>4NDP91S</t>
    <phoneticPr fontId="3" type="noConversion"/>
  </si>
  <si>
    <t>Motor Driver</t>
    <phoneticPr fontId="3" type="noConversion"/>
  </si>
  <si>
    <t>회로 응용 회로 판독법 및 이론지식 교육19</t>
    <phoneticPr fontId="3" type="noConversion"/>
  </si>
  <si>
    <t xml:space="preserve">A10 / A41 ERROR /ipm module  /bridge d   fuse 20a </t>
    <phoneticPr fontId="3" type="noConversion"/>
  </si>
  <si>
    <t xml:space="preserve">ERROR rarameter manual입력 </t>
    <phoneticPr fontId="3" type="noConversion"/>
  </si>
  <si>
    <t>장현우</t>
    <phoneticPr fontId="3" type="noConversion"/>
  </si>
  <si>
    <t>booting error</t>
    <phoneticPr fontId="3" type="noConversion"/>
  </si>
  <si>
    <t>지게차 경광등</t>
    <phoneticPr fontId="3" type="noConversion"/>
  </si>
  <si>
    <t>지게차 후진 시 경광등 설치</t>
    <phoneticPr fontId="3" type="noConversion"/>
  </si>
  <si>
    <t>B-Part</t>
    <phoneticPr fontId="3" type="noConversion"/>
  </si>
  <si>
    <t>Web Cam</t>
    <phoneticPr fontId="3" type="noConversion"/>
  </si>
  <si>
    <t>Web Cam 간헐 적 불량 점검 중</t>
    <phoneticPr fontId="3" type="noConversion"/>
  </si>
  <si>
    <t>박성남</t>
    <phoneticPr fontId="3" type="noConversion"/>
  </si>
  <si>
    <t>Connector 작업</t>
    <phoneticPr fontId="3" type="noConversion"/>
  </si>
  <si>
    <t>화면 수많은 줄 깨짐 / 구매 후 조립 완료</t>
    <phoneticPr fontId="3" type="noConversion"/>
  </si>
  <si>
    <t xml:space="preserve">inewtet </t>
  </si>
  <si>
    <t>전원 out</t>
  </si>
  <si>
    <t>김정훈</t>
    <phoneticPr fontId="3" type="noConversion"/>
  </si>
  <si>
    <t xml:space="preserve">일체형 PC </t>
    <phoneticPr fontId="3" type="noConversion"/>
  </si>
  <si>
    <t>수리완료</t>
    <phoneticPr fontId="3" type="noConversion"/>
  </si>
  <si>
    <t>회로 응용 회로 판독법 및 이론지식 교육20</t>
    <phoneticPr fontId="3" type="noConversion"/>
  </si>
  <si>
    <t>PLC Notebook</t>
    <phoneticPr fontId="3" type="noConversion"/>
  </si>
  <si>
    <t xml:space="preserve">LG Notebook LGR58 </t>
  </si>
  <si>
    <t>main board</t>
    <phoneticPr fontId="3" type="noConversion"/>
  </si>
  <si>
    <t>010QTPK039768</t>
    <phoneticPr fontId="3" type="noConversion"/>
  </si>
  <si>
    <t>인쇄 안됨 / 모터 보드 교체</t>
    <phoneticPr fontId="3" type="noConversion"/>
  </si>
  <si>
    <t>유성수</t>
    <phoneticPr fontId="3" type="noConversion"/>
  </si>
  <si>
    <t>손세용</t>
    <phoneticPr fontId="3" type="noConversion"/>
  </si>
  <si>
    <t>WBG</t>
    <phoneticPr fontId="3" type="noConversion"/>
  </si>
  <si>
    <t>I/O Board</t>
    <phoneticPr fontId="3" type="noConversion"/>
  </si>
  <si>
    <t xml:space="preserve">Cutter 오동작 발생 </t>
  </si>
  <si>
    <t>AC SERVO DRIVER</t>
    <phoneticPr fontId="3" type="noConversion"/>
  </si>
  <si>
    <t>sgdv-2r9e11a</t>
    <phoneticPr fontId="3" type="noConversion"/>
  </si>
  <si>
    <t xml:space="preserve">servo driver </t>
    <phoneticPr fontId="3" type="noConversion"/>
  </si>
  <si>
    <t xml:space="preserve">e61 710 860 </t>
    <phoneticPr fontId="3" type="noConversion"/>
  </si>
  <si>
    <t>장원선</t>
    <phoneticPr fontId="3" type="noConversion"/>
  </si>
  <si>
    <t>tcncp</t>
    <phoneticPr fontId="3" type="noConversion"/>
  </si>
  <si>
    <t>전태진</t>
    <phoneticPr fontId="3" type="noConversion"/>
  </si>
  <si>
    <t>mr-j2s-19a</t>
    <phoneticPr fontId="3" type="noConversion"/>
  </si>
  <si>
    <t xml:space="preserve">ERROR rarameter manual입력 auto 안됨 </t>
    <phoneticPr fontId="3" type="noConversion"/>
  </si>
  <si>
    <t>KA01857 02145</t>
    <phoneticPr fontId="3" type="noConversion"/>
  </si>
  <si>
    <t>전원 안들어옴 / 전원부 수리 조립</t>
    <phoneticPr fontId="3" type="noConversion"/>
  </si>
  <si>
    <t>이성곤</t>
    <phoneticPr fontId="3" type="noConversion"/>
  </si>
  <si>
    <t>MEOL PECVD</t>
  </si>
  <si>
    <t>이성문</t>
    <phoneticPr fontId="3" type="noConversion"/>
  </si>
  <si>
    <t>ICOS</t>
    <phoneticPr fontId="3" type="noConversion"/>
  </si>
  <si>
    <t>STEPPING MOTOR DRIVER</t>
    <phoneticPr fontId="3" type="noConversion"/>
  </si>
  <si>
    <t>B20170200010619</t>
    <phoneticPr fontId="3" type="noConversion"/>
  </si>
  <si>
    <t>장은철</t>
    <phoneticPr fontId="3" type="noConversion"/>
  </si>
  <si>
    <t>AU -&gt; CU Conversion</t>
    <phoneticPr fontId="3" type="noConversion"/>
  </si>
  <si>
    <t xml:space="preserve">al e9 igbt burning cap' 떨어져나감 / driver로 parameter wirte </t>
    <phoneticPr fontId="3" type="noConversion"/>
  </si>
  <si>
    <t>sgdv-2r8a05a</t>
    <phoneticPr fontId="3" type="noConversion"/>
  </si>
  <si>
    <t xml:space="preserve">yaskawa servo driver </t>
    <phoneticPr fontId="3" type="noConversion"/>
  </si>
  <si>
    <t xml:space="preserve">증상 모름 </t>
    <phoneticPr fontId="3" type="noConversion"/>
  </si>
  <si>
    <t xml:space="preserve"> 전자실 보유 parameter wirte </t>
    <phoneticPr fontId="3" type="noConversion"/>
  </si>
  <si>
    <t>XCD444440P01</t>
    <phoneticPr fontId="3" type="noConversion"/>
  </si>
  <si>
    <t>Xgen Power supply</t>
    <phoneticPr fontId="3" type="noConversion"/>
  </si>
  <si>
    <t>내부 완전 파손 / 폐기</t>
    <phoneticPr fontId="3" type="noConversion"/>
  </si>
  <si>
    <t>36121672</t>
    <phoneticPr fontId="3" type="noConversion"/>
  </si>
  <si>
    <t>Light LED assy</t>
    <phoneticPr fontId="3" type="noConversion"/>
  </si>
  <si>
    <t>Offloader #6</t>
    <phoneticPr fontId="3" type="noConversion"/>
  </si>
  <si>
    <t>Hims Vision System PC</t>
    <phoneticPr fontId="3" type="noConversion"/>
  </si>
  <si>
    <t>HDD OUT</t>
    <phoneticPr fontId="3" type="noConversion"/>
  </si>
  <si>
    <t>#5 Hang Up</t>
    <phoneticPr fontId="3" type="noConversion"/>
  </si>
  <si>
    <t>#1 e-Cim Error</t>
    <phoneticPr fontId="3" type="noConversion"/>
  </si>
  <si>
    <t>#2 e-Cim Error</t>
    <phoneticPr fontId="3" type="noConversion"/>
  </si>
  <si>
    <t>#3 e-Cim Error</t>
    <phoneticPr fontId="3" type="noConversion"/>
  </si>
  <si>
    <t>#4 e-Cim Error</t>
    <phoneticPr fontId="3" type="noConversion"/>
  </si>
  <si>
    <t>2T1</t>
  </si>
  <si>
    <t xml:space="preserve">이상동작 / relay 교체 </t>
    <phoneticPr fontId="3" type="noConversion"/>
  </si>
  <si>
    <t>LED out로 11개 교채</t>
    <phoneticPr fontId="3" type="noConversion"/>
  </si>
  <si>
    <t>pr021</t>
    <phoneticPr fontId="3" type="noConversion"/>
  </si>
  <si>
    <t>11004-000-651R00</t>
    <phoneticPr fontId="3" type="noConversion"/>
  </si>
  <si>
    <t>홍복희</t>
    <phoneticPr fontId="3" type="noConversion"/>
  </si>
  <si>
    <t>PIOC-G3/F</t>
    <phoneticPr fontId="3" type="noConversion"/>
  </si>
  <si>
    <t>ATOS</t>
    <phoneticPr fontId="3" type="noConversion"/>
  </si>
  <si>
    <t>ICOS</t>
    <phoneticPr fontId="3" type="noConversion"/>
  </si>
  <si>
    <t>간혈적 ERROR 발생</t>
    <phoneticPr fontId="3" type="noConversion"/>
  </si>
  <si>
    <t>김정훈</t>
    <phoneticPr fontId="3" type="noConversion"/>
  </si>
  <si>
    <t>MOLD</t>
    <phoneticPr fontId="3" type="noConversion"/>
  </si>
  <si>
    <t>ASM</t>
    <phoneticPr fontId="3" type="noConversion"/>
  </si>
  <si>
    <t>김선일</t>
    <phoneticPr fontId="3" type="noConversion"/>
  </si>
  <si>
    <t>AC ADAPTER</t>
    <phoneticPr fontId="3" type="noConversion"/>
  </si>
  <si>
    <t>Lenovo mainboard</t>
    <phoneticPr fontId="3" type="noConversion"/>
  </si>
  <si>
    <t>MT-M9279-A65</t>
    <phoneticPr fontId="3" type="noConversion"/>
  </si>
  <si>
    <t>L3A4166</t>
    <phoneticPr fontId="3" type="noConversion"/>
  </si>
  <si>
    <t>부팅 안됨 / 보드내에 모든 콘덴서 51개 교체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</si>
</sst>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0_);[Red]\(#,##0\)"/>
    <numFmt numFmtId="177" formatCode="0;[Red]0"/>
    <numFmt numFmtId="178" formatCode="#&quot;월&quot;"/>
    <numFmt numFmtId="179" formatCode="mm&quot;월&quot;\ dd&quot;일&quot;"/>
    <numFmt numFmtId="180" formatCode="0&quot;T&quot;0&quot;P&quot;"/>
    <numFmt numFmtId="181" formatCode="0_);[Red]\(0\)"/>
    <numFmt numFmtId="182" formatCode="#,##0_ "/>
    <numFmt numFmtId="183" formatCode="0.0%"/>
    <numFmt numFmtId="184" formatCode="#,##0.0_ "/>
    <numFmt numFmtId="185" formatCode="#&quot;년&quot;"/>
    <numFmt numFmtId="186" formatCode="0.0"/>
    <numFmt numFmtId="187" formatCode="_(&quot;$&quot;* #,##0.00_);_(&quot;$&quot;* \(#,##0.00\);_(&quot;$&quot;* &quot;-&quot;??_);_(@_)"/>
    <numFmt numFmtId="188" formatCode="_-* #,##0.0_-;\-* #,##0.0_-;_-* &quot;-&quot;_-;_-@_-"/>
    <numFmt numFmtId="189" formatCode="0.000_ "/>
    <numFmt numFmtId="190" formatCode="mmm"/>
    <numFmt numFmtId="191" formatCode="\w\w00"/>
    <numFmt numFmtId="192" formatCode="0.00_);[Red]\(0.00\)"/>
  </numFmts>
  <fonts count="4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5" tint="-0.499984740745262"/>
      <name val="Arial"/>
      <family val="2"/>
    </font>
    <font>
      <sz val="8"/>
      <name val="돋움"/>
      <family val="3"/>
      <charset val="129"/>
    </font>
    <font>
      <b/>
      <sz val="11"/>
      <name val="Arial"/>
      <family val="2"/>
    </font>
    <font>
      <sz val="11"/>
      <name val="Arial"/>
      <family val="2"/>
    </font>
    <font>
      <b/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5" tint="-0.499984740745262"/>
      <name val="Arial"/>
      <family val="2"/>
    </font>
    <font>
      <b/>
      <sz val="9"/>
      <color theme="5" tint="-0.499984740745262"/>
      <name val="Arial"/>
      <family val="2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3"/>
      <color theme="0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14"/>
      <color rgb="FF0000FF"/>
      <name val="Calibri"/>
      <family val="2"/>
    </font>
    <font>
      <b/>
      <sz val="14"/>
      <color rgb="FFFF3300"/>
      <name val="Calibri"/>
      <family val="2"/>
    </font>
    <font>
      <sz val="10"/>
      <name val="Arial"/>
      <family val="2"/>
    </font>
    <font>
      <sz val="9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2"/>
      <color rgb="FFFF0000"/>
      <name val="Arial"/>
      <family val="2"/>
    </font>
    <font>
      <i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9"/>
      <name val="맑은 고딕"/>
      <family val="2"/>
      <charset val="129"/>
      <scheme val="minor"/>
    </font>
    <font>
      <sz val="7.5"/>
      <color theme="1"/>
      <name val="맑은 고딕"/>
      <family val="2"/>
      <charset val="129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59999389629810485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lightUp">
        <fgColor theme="4" tint="-0.24994659260841701"/>
        <bgColor theme="3" tint="-0.499984740745262"/>
      </patternFill>
    </fill>
    <fill>
      <patternFill patternType="solid">
        <fgColor rgb="FFC0504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theme="4" tint="0.59999389629810485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/>
        <bgColor indexed="64"/>
      </patternFill>
    </fill>
  </fills>
  <borders count="6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indexed="64"/>
      </bottom>
      <diagonal/>
    </border>
    <border>
      <left/>
      <right style="thin">
        <color auto="1"/>
      </right>
      <top style="medium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theme="4"/>
      </top>
      <bottom style="medium">
        <color rgb="FF0070C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2" fillId="0" borderId="0"/>
    <xf numFmtId="187" fontId="32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5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4" fontId="6" fillId="4" borderId="1" xfId="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80" fontId="6" fillId="4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5" fillId="3" borderId="1" xfId="0" applyFont="1" applyFill="1" applyBorder="1">
      <alignment vertical="center"/>
    </xf>
    <xf numFmtId="49" fontId="5" fillId="3" borderId="1" xfId="0" applyNumberFormat="1" applyFont="1" applyFill="1" applyBorder="1" applyAlignment="1">
      <alignment horizontal="center" vertical="center"/>
    </xf>
    <xf numFmtId="176" fontId="5" fillId="3" borderId="1" xfId="0" applyNumberFormat="1" applyFont="1" applyFill="1" applyBorder="1">
      <alignment vertical="center"/>
    </xf>
    <xf numFmtId="176" fontId="6" fillId="3" borderId="1" xfId="0" applyNumberFormat="1" applyFont="1" applyFill="1" applyBorder="1" applyAlignment="1">
      <alignment horizontal="right" vertical="center"/>
    </xf>
    <xf numFmtId="177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left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0" fontId="1" fillId="0" borderId="0" xfId="3">
      <alignment vertical="center"/>
    </xf>
    <xf numFmtId="0" fontId="9" fillId="8" borderId="2" xfId="3" applyFont="1" applyFill="1" applyBorder="1" applyAlignment="1">
      <alignment horizontal="center" vertical="center"/>
    </xf>
    <xf numFmtId="0" fontId="9" fillId="7" borderId="2" xfId="3" applyFont="1" applyFill="1" applyBorder="1" applyAlignment="1">
      <alignment horizontal="center" vertical="center"/>
    </xf>
    <xf numFmtId="181" fontId="12" fillId="9" borderId="2" xfId="3" applyNumberFormat="1" applyFont="1" applyFill="1" applyBorder="1" applyAlignment="1">
      <alignment horizontal="center" vertical="center"/>
    </xf>
    <xf numFmtId="182" fontId="13" fillId="10" borderId="2" xfId="3" applyNumberFormat="1" applyFont="1" applyFill="1" applyBorder="1" applyAlignment="1">
      <alignment horizontal="right" vertical="center"/>
    </xf>
    <xf numFmtId="182" fontId="13" fillId="7" borderId="2" xfId="3" applyNumberFormat="1" applyFont="1" applyFill="1" applyBorder="1" applyAlignment="1">
      <alignment horizontal="right" vertical="center"/>
    </xf>
    <xf numFmtId="0" fontId="0" fillId="0" borderId="0" xfId="3" applyFont="1">
      <alignment vertical="center"/>
    </xf>
    <xf numFmtId="181" fontId="14" fillId="11" borderId="2" xfId="3" applyNumberFormat="1" applyFont="1" applyFill="1" applyBorder="1" applyAlignment="1">
      <alignment horizontal="center" vertical="center"/>
    </xf>
    <xf numFmtId="182" fontId="13" fillId="11" borderId="2" xfId="3" applyNumberFormat="1" applyFont="1" applyFill="1" applyBorder="1" applyAlignment="1">
      <alignment horizontal="right" vertical="center"/>
    </xf>
    <xf numFmtId="0" fontId="9" fillId="11" borderId="2" xfId="3" applyFont="1" applyFill="1" applyBorder="1" applyAlignment="1">
      <alignment horizontal="center" vertical="center"/>
    </xf>
    <xf numFmtId="183" fontId="0" fillId="11" borderId="2" xfId="3" applyNumberFormat="1" applyFont="1" applyFill="1" applyBorder="1">
      <alignment vertical="center"/>
    </xf>
    <xf numFmtId="183" fontId="13" fillId="11" borderId="2" xfId="3" applyNumberFormat="1" applyFont="1" applyFill="1" applyBorder="1" applyAlignment="1">
      <alignment horizontal="right"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181" fontId="12" fillId="3" borderId="2" xfId="3" applyNumberFormat="1" applyFont="1" applyFill="1" applyBorder="1" applyAlignment="1">
      <alignment horizontal="center" vertical="center"/>
    </xf>
    <xf numFmtId="182" fontId="13" fillId="10" borderId="2" xfId="3" applyNumberFormat="1" applyFont="1" applyFill="1" applyBorder="1" applyAlignment="1">
      <alignment horizontal="center" vertical="center"/>
    </xf>
    <xf numFmtId="182" fontId="9" fillId="11" borderId="2" xfId="3" applyNumberFormat="1" applyFont="1" applyFill="1" applyBorder="1" applyAlignment="1">
      <alignment horizontal="center" vertical="center"/>
    </xf>
    <xf numFmtId="0" fontId="15" fillId="13" borderId="5" xfId="0" applyFont="1" applyFill="1" applyBorder="1" applyAlignment="1">
      <alignment horizontal="center" vertical="center"/>
    </xf>
    <xf numFmtId="0" fontId="19" fillId="13" borderId="6" xfId="0" applyFont="1" applyFill="1" applyBorder="1" applyAlignment="1">
      <alignment horizontal="center" vertical="center"/>
    </xf>
    <xf numFmtId="0" fontId="19" fillId="13" borderId="7" xfId="0" applyFont="1" applyFill="1" applyBorder="1" applyAlignment="1">
      <alignment horizontal="center" vertical="center"/>
    </xf>
    <xf numFmtId="0" fontId="19" fillId="14" borderId="7" xfId="0" applyFont="1" applyFill="1" applyBorder="1" applyAlignment="1">
      <alignment horizontal="center" vertical="center"/>
    </xf>
    <xf numFmtId="0" fontId="19" fillId="14" borderId="8" xfId="0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7" borderId="11" xfId="0" applyFont="1" applyFill="1" applyBorder="1" applyAlignment="1">
      <alignment horizontal="center" vertical="center"/>
    </xf>
    <xf numFmtId="9" fontId="15" fillId="7" borderId="12" xfId="0" applyNumberFormat="1" applyFont="1" applyFill="1" applyBorder="1" applyAlignment="1">
      <alignment horizontal="center" vertical="center"/>
    </xf>
    <xf numFmtId="0" fontId="19" fillId="15" borderId="13" xfId="0" applyFont="1" applyFill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9" fontId="15" fillId="7" borderId="15" xfId="0" applyNumberFormat="1" applyFont="1" applyFill="1" applyBorder="1" applyAlignment="1">
      <alignment horizontal="center" vertical="center"/>
    </xf>
    <xf numFmtId="0" fontId="19" fillId="16" borderId="16" xfId="0" applyFont="1" applyFill="1" applyBorder="1" applyAlignment="1">
      <alignment horizontal="center" vertical="center"/>
    </xf>
    <xf numFmtId="0" fontId="15" fillId="16" borderId="17" xfId="0" applyFont="1" applyFill="1" applyBorder="1" applyAlignment="1">
      <alignment horizontal="center" vertical="center"/>
    </xf>
    <xf numFmtId="0" fontId="15" fillId="16" borderId="18" xfId="0" applyFont="1" applyFill="1" applyBorder="1" applyAlignment="1">
      <alignment horizontal="center" vertical="center"/>
    </xf>
    <xf numFmtId="0" fontId="15" fillId="7" borderId="18" xfId="0" applyFont="1" applyFill="1" applyBorder="1" applyAlignment="1">
      <alignment horizontal="center" vertical="center"/>
    </xf>
    <xf numFmtId="9" fontId="15" fillId="7" borderId="19" xfId="0" applyNumberFormat="1" applyFont="1" applyFill="1" applyBorder="1" applyAlignment="1">
      <alignment horizontal="center" vertical="center"/>
    </xf>
    <xf numFmtId="0" fontId="20" fillId="17" borderId="20" xfId="0" applyFont="1" applyFill="1" applyBorder="1" applyAlignment="1">
      <alignment horizontal="center" vertical="center"/>
    </xf>
    <xf numFmtId="183" fontId="20" fillId="17" borderId="21" xfId="0" applyNumberFormat="1" applyFont="1" applyFill="1" applyBorder="1" applyAlignment="1">
      <alignment horizontal="center" vertical="center"/>
    </xf>
    <xf numFmtId="183" fontId="20" fillId="17" borderId="22" xfId="0" applyNumberFormat="1" applyFont="1" applyFill="1" applyBorder="1" applyAlignment="1">
      <alignment horizontal="center" vertical="center"/>
    </xf>
    <xf numFmtId="183" fontId="20" fillId="7" borderId="22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0" fillId="7" borderId="25" xfId="0" applyFill="1" applyBorder="1" applyAlignment="1">
      <alignment horizontal="center" vertical="center"/>
    </xf>
    <xf numFmtId="0" fontId="8" fillId="0" borderId="0" xfId="0" applyFont="1">
      <alignment vertical="center"/>
    </xf>
    <xf numFmtId="0" fontId="21" fillId="0" borderId="0" xfId="0" applyFont="1">
      <alignment vertical="center"/>
    </xf>
    <xf numFmtId="0" fontId="19" fillId="13" borderId="27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9" fontId="22" fillId="0" borderId="11" xfId="0" applyNumberFormat="1" applyFont="1" applyBorder="1" applyAlignment="1">
      <alignment horizontal="center" vertical="center"/>
    </xf>
    <xf numFmtId="0" fontId="19" fillId="18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9" fontId="22" fillId="0" borderId="1" xfId="0" applyNumberFormat="1" applyFont="1" applyBorder="1" applyAlignment="1">
      <alignment horizontal="center" vertical="center"/>
    </xf>
    <xf numFmtId="0" fontId="19" fillId="19" borderId="1" xfId="0" applyFont="1" applyFill="1" applyBorder="1" applyAlignment="1">
      <alignment horizontal="center" vertical="center"/>
    </xf>
    <xf numFmtId="0" fontId="22" fillId="11" borderId="1" xfId="0" applyFont="1" applyFill="1" applyBorder="1" applyAlignment="1">
      <alignment horizontal="center" vertical="center"/>
    </xf>
    <xf numFmtId="0" fontId="22" fillId="20" borderId="11" xfId="0" applyFont="1" applyFill="1" applyBorder="1" applyAlignment="1">
      <alignment horizontal="center" vertical="center"/>
    </xf>
    <xf numFmtId="0" fontId="22" fillId="5" borderId="11" xfId="0" applyFont="1" applyFill="1" applyBorder="1" applyAlignment="1">
      <alignment horizontal="center" vertical="center"/>
    </xf>
    <xf numFmtId="9" fontId="22" fillId="5" borderId="11" xfId="0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0" fontId="25" fillId="0" borderId="0" xfId="0" applyFont="1" applyAlignment="1">
      <alignment horizontal="left"/>
    </xf>
    <xf numFmtId="0" fontId="16" fillId="0" borderId="0" xfId="0" applyFont="1" applyAlignment="1">
      <alignment horizontal="center" vertical="center"/>
    </xf>
    <xf numFmtId="0" fontId="26" fillId="21" borderId="43" xfId="0" applyFont="1" applyFill="1" applyBorder="1" applyAlignment="1">
      <alignment horizontal="center" vertical="center"/>
    </xf>
    <xf numFmtId="183" fontId="15" fillId="0" borderId="44" xfId="2" applyNumberFormat="1" applyFont="1" applyBorder="1" applyAlignment="1">
      <alignment horizontal="center" vertical="center"/>
    </xf>
    <xf numFmtId="182" fontId="15" fillId="0" borderId="44" xfId="2" applyNumberFormat="1" applyFont="1" applyBorder="1" applyAlignment="1">
      <alignment horizontal="center" vertical="center"/>
    </xf>
    <xf numFmtId="184" fontId="15" fillId="0" borderId="44" xfId="2" applyNumberFormat="1" applyFont="1" applyBorder="1" applyAlignment="1">
      <alignment horizontal="center" vertical="center"/>
    </xf>
    <xf numFmtId="182" fontId="26" fillId="21" borderId="43" xfId="0" applyNumberFormat="1" applyFont="1" applyFill="1" applyBorder="1" applyAlignment="1">
      <alignment horizontal="center" vertical="center"/>
    </xf>
    <xf numFmtId="184" fontId="26" fillId="21" borderId="43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41" fontId="1" fillId="0" borderId="0" xfId="1">
      <alignment vertical="center"/>
    </xf>
    <xf numFmtId="0" fontId="28" fillId="7" borderId="11" xfId="0" applyFont="1" applyFill="1" applyBorder="1" applyAlignment="1">
      <alignment horizontal="center" vertical="center"/>
    </xf>
    <xf numFmtId="0" fontId="29" fillId="7" borderId="11" xfId="0" applyFont="1" applyFill="1" applyBorder="1">
      <alignment vertical="center"/>
    </xf>
    <xf numFmtId="186" fontId="29" fillId="7" borderId="11" xfId="0" applyNumberFormat="1" applyFont="1" applyFill="1" applyBorder="1">
      <alignment vertical="center"/>
    </xf>
    <xf numFmtId="0" fontId="28" fillId="23" borderId="1" xfId="0" applyFont="1" applyFill="1" applyBorder="1" applyAlignment="1">
      <alignment horizontal="center" vertical="center"/>
    </xf>
    <xf numFmtId="0" fontId="29" fillId="23" borderId="1" xfId="0" applyFont="1" applyFill="1" applyBorder="1">
      <alignment vertical="center"/>
    </xf>
    <xf numFmtId="0" fontId="29" fillId="23" borderId="11" xfId="0" applyFont="1" applyFill="1" applyBorder="1">
      <alignment vertical="center"/>
    </xf>
    <xf numFmtId="186" fontId="29" fillId="23" borderId="1" xfId="0" applyNumberFormat="1" applyFont="1" applyFill="1" applyBorder="1">
      <alignment vertical="center"/>
    </xf>
    <xf numFmtId="182" fontId="29" fillId="7" borderId="11" xfId="0" applyNumberFormat="1" applyFont="1" applyFill="1" applyBorder="1">
      <alignment vertical="center"/>
    </xf>
    <xf numFmtId="182" fontId="29" fillId="23" borderId="1" xfId="0" applyNumberFormat="1" applyFont="1" applyFill="1" applyBorder="1">
      <alignment vertical="center"/>
    </xf>
    <xf numFmtId="182" fontId="1" fillId="0" borderId="0" xfId="3" applyNumberFormat="1">
      <alignment vertical="center"/>
    </xf>
    <xf numFmtId="182" fontId="0" fillId="0" borderId="0" xfId="3" applyNumberFormat="1" applyFont="1">
      <alignment vertical="center"/>
    </xf>
    <xf numFmtId="0" fontId="28" fillId="7" borderId="49" xfId="0" applyFont="1" applyFill="1" applyBorder="1" applyAlignment="1">
      <alignment horizontal="center" vertical="center"/>
    </xf>
    <xf numFmtId="182" fontId="29" fillId="7" borderId="49" xfId="0" applyNumberFormat="1" applyFont="1" applyFill="1" applyBorder="1">
      <alignment vertical="center"/>
    </xf>
    <xf numFmtId="0" fontId="29" fillId="7" borderId="49" xfId="0" applyFont="1" applyFill="1" applyBorder="1">
      <alignment vertical="center"/>
    </xf>
    <xf numFmtId="186" fontId="29" fillId="7" borderId="49" xfId="0" applyNumberFormat="1" applyFont="1" applyFill="1" applyBorder="1">
      <alignment vertical="center"/>
    </xf>
    <xf numFmtId="0" fontId="30" fillId="13" borderId="50" xfId="0" applyFont="1" applyFill="1" applyBorder="1" applyAlignment="1">
      <alignment horizontal="center" vertical="center"/>
    </xf>
    <xf numFmtId="182" fontId="30" fillId="13" borderId="50" xfId="0" applyNumberFormat="1" applyFont="1" applyFill="1" applyBorder="1">
      <alignment vertical="center"/>
    </xf>
    <xf numFmtId="0" fontId="30" fillId="13" borderId="50" xfId="0" applyFont="1" applyFill="1" applyBorder="1">
      <alignment vertical="center"/>
    </xf>
    <xf numFmtId="0" fontId="5" fillId="8" borderId="1" xfId="0" applyFont="1" applyFill="1" applyBorder="1" applyAlignment="1">
      <alignment horizontal="center" vertical="center"/>
    </xf>
    <xf numFmtId="178" fontId="6" fillId="24" borderId="1" xfId="1" applyNumberFormat="1" applyFont="1" applyFill="1" applyBorder="1" applyAlignment="1">
      <alignment horizontal="center" vertical="center"/>
    </xf>
    <xf numFmtId="0" fontId="9" fillId="0" borderId="0" xfId="3" applyFont="1">
      <alignment vertical="center"/>
    </xf>
    <xf numFmtId="0" fontId="9" fillId="5" borderId="0" xfId="3" applyFont="1" applyFill="1" applyAlignment="1">
      <alignment horizontal="center" vertical="center"/>
    </xf>
    <xf numFmtId="0" fontId="0" fillId="0" borderId="0" xfId="3" applyFont="1" applyAlignment="1">
      <alignment horizontal="center" vertical="center"/>
    </xf>
    <xf numFmtId="179" fontId="33" fillId="3" borderId="1" xfId="0" applyNumberFormat="1" applyFont="1" applyFill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184" fontId="13" fillId="10" borderId="2" xfId="3" applyNumberFormat="1" applyFont="1" applyFill="1" applyBorder="1" applyAlignment="1">
      <alignment horizontal="right" vertical="center"/>
    </xf>
    <xf numFmtId="184" fontId="13" fillId="11" borderId="2" xfId="3" applyNumberFormat="1" applyFont="1" applyFill="1" applyBorder="1" applyAlignment="1">
      <alignment horizontal="right" vertical="center"/>
    </xf>
    <xf numFmtId="184" fontId="13" fillId="7" borderId="2" xfId="3" applyNumberFormat="1" applyFont="1" applyFill="1" applyBorder="1" applyAlignment="1">
      <alignment horizontal="right" vertical="center"/>
    </xf>
    <xf numFmtId="43" fontId="1" fillId="0" borderId="0" xfId="3" applyNumberFormat="1">
      <alignment vertical="center"/>
    </xf>
    <xf numFmtId="0" fontId="0" fillId="25" borderId="0" xfId="3" applyFont="1" applyFill="1">
      <alignment vertical="center"/>
    </xf>
    <xf numFmtId="0" fontId="1" fillId="25" borderId="0" xfId="3" applyFill="1">
      <alignment vertical="center"/>
    </xf>
    <xf numFmtId="0" fontId="34" fillId="25" borderId="0" xfId="3" applyFont="1" applyFill="1" applyAlignment="1">
      <alignment horizontal="right" vertical="center"/>
    </xf>
    <xf numFmtId="0" fontId="35" fillId="25" borderId="0" xfId="3" applyFont="1" applyFill="1" applyAlignment="1">
      <alignment horizontal="left" vertical="center"/>
    </xf>
    <xf numFmtId="0" fontId="36" fillId="25" borderId="0" xfId="3" applyFont="1" applyFill="1">
      <alignment vertical="center"/>
    </xf>
    <xf numFmtId="0" fontId="9" fillId="26" borderId="16" xfId="0" applyFont="1" applyFill="1" applyBorder="1" applyAlignment="1">
      <alignment horizontal="center" vertical="center"/>
    </xf>
    <xf numFmtId="188" fontId="0" fillId="0" borderId="0" xfId="1" applyNumberFormat="1" applyFont="1" applyAlignment="1">
      <alignment horizontal="center" vertical="center"/>
    </xf>
    <xf numFmtId="41" fontId="0" fillId="0" borderId="30" xfId="1" applyFont="1" applyBorder="1" applyAlignment="1">
      <alignment horizontal="center" vertical="center"/>
    </xf>
    <xf numFmtId="41" fontId="0" fillId="0" borderId="3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32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52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41" fontId="0" fillId="0" borderId="53" xfId="1" applyFont="1" applyBorder="1" applyAlignment="1">
      <alignment horizontal="center" vertical="center"/>
    </xf>
    <xf numFmtId="41" fontId="0" fillId="0" borderId="33" xfId="1" applyFont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26" borderId="33" xfId="1" applyFont="1" applyFill="1" applyBorder="1" applyAlignment="1">
      <alignment horizontal="center" vertical="center"/>
    </xf>
    <xf numFmtId="41" fontId="0" fillId="26" borderId="18" xfId="1" applyFont="1" applyFill="1" applyBorder="1" applyAlignment="1">
      <alignment horizontal="center" vertical="center"/>
    </xf>
    <xf numFmtId="41" fontId="0" fillId="26" borderId="19" xfId="1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41" fontId="0" fillId="0" borderId="5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41" fontId="0" fillId="0" borderId="56" xfId="1" applyFont="1" applyBorder="1" applyAlignment="1">
      <alignment horizontal="center" vertical="center"/>
    </xf>
    <xf numFmtId="41" fontId="0" fillId="0" borderId="57" xfId="1" applyFont="1" applyBorder="1" applyAlignment="1">
      <alignment horizontal="center" vertical="center"/>
    </xf>
    <xf numFmtId="41" fontId="0" fillId="26" borderId="57" xfId="1" applyFont="1" applyFill="1" applyBorder="1" applyAlignment="1">
      <alignment horizontal="center" vertical="center"/>
    </xf>
    <xf numFmtId="182" fontId="9" fillId="9" borderId="4" xfId="0" applyNumberFormat="1" applyFont="1" applyFill="1" applyBorder="1" applyAlignment="1">
      <alignment horizontal="left" vertical="center"/>
    </xf>
    <xf numFmtId="41" fontId="0" fillId="0" borderId="58" xfId="1" applyFont="1" applyBorder="1" applyAlignment="1">
      <alignment horizontal="center" vertical="center"/>
    </xf>
    <xf numFmtId="41" fontId="0" fillId="0" borderId="59" xfId="1" applyFont="1" applyBorder="1" applyAlignment="1">
      <alignment horizontal="center" vertical="center"/>
    </xf>
    <xf numFmtId="41" fontId="0" fillId="0" borderId="60" xfId="1" applyFont="1" applyBorder="1" applyAlignment="1">
      <alignment horizontal="center" vertical="center"/>
    </xf>
    <xf numFmtId="41" fontId="0" fillId="0" borderId="61" xfId="1" applyFont="1" applyBorder="1" applyAlignment="1">
      <alignment horizontal="center" vertical="center"/>
    </xf>
    <xf numFmtId="41" fontId="0" fillId="26" borderId="61" xfId="1" applyFont="1" applyFill="1" applyBorder="1" applyAlignment="1">
      <alignment horizontal="center" vertical="center"/>
    </xf>
    <xf numFmtId="188" fontId="0" fillId="0" borderId="46" xfId="1" applyNumberFormat="1" applyFont="1" applyBorder="1" applyAlignment="1">
      <alignment horizontal="center" vertical="center"/>
    </xf>
    <xf numFmtId="188" fontId="0" fillId="0" borderId="15" xfId="1" applyNumberFormat="1" applyFont="1" applyBorder="1" applyAlignment="1">
      <alignment horizontal="center" vertical="center"/>
    </xf>
    <xf numFmtId="188" fontId="0" fillId="0" borderId="53" xfId="1" applyNumberFormat="1" applyFont="1" applyBorder="1" applyAlignment="1">
      <alignment horizontal="center" vertical="center"/>
    </xf>
    <xf numFmtId="188" fontId="0" fillId="0" borderId="19" xfId="1" applyNumberFormat="1" applyFont="1" applyBorder="1" applyAlignment="1">
      <alignment horizontal="center" vertical="center"/>
    </xf>
    <xf numFmtId="188" fontId="0" fillId="26" borderId="19" xfId="1" applyNumberFormat="1" applyFont="1" applyFill="1" applyBorder="1" applyAlignment="1">
      <alignment horizontal="center" vertical="center"/>
    </xf>
    <xf numFmtId="0" fontId="24" fillId="9" borderId="62" xfId="0" applyFont="1" applyFill="1" applyBorder="1" applyAlignment="1">
      <alignment horizontal="center" vertical="center"/>
    </xf>
    <xf numFmtId="0" fontId="24" fillId="9" borderId="25" xfId="0" applyFont="1" applyFill="1" applyBorder="1" applyAlignment="1">
      <alignment horizontal="center" vertical="center"/>
    </xf>
    <xf numFmtId="182" fontId="9" fillId="9" borderId="63" xfId="0" applyNumberFormat="1" applyFont="1" applyFill="1" applyBorder="1" applyAlignment="1">
      <alignment horizontal="center" vertical="center"/>
    </xf>
    <xf numFmtId="0" fontId="24" fillId="9" borderId="3" xfId="0" applyFont="1" applyFill="1" applyBorder="1" applyAlignment="1">
      <alignment horizontal="center" vertical="center"/>
    </xf>
    <xf numFmtId="41" fontId="0" fillId="0" borderId="64" xfId="1" applyFont="1" applyBorder="1" applyAlignment="1">
      <alignment horizontal="center" vertical="center"/>
    </xf>
    <xf numFmtId="41" fontId="0" fillId="0" borderId="65" xfId="1" applyFont="1" applyBorder="1" applyAlignment="1">
      <alignment horizontal="center" vertical="center"/>
    </xf>
    <xf numFmtId="41" fontId="0" fillId="0" borderId="66" xfId="1" applyFont="1" applyBorder="1" applyAlignment="1">
      <alignment horizontal="center" vertical="center"/>
    </xf>
    <xf numFmtId="41" fontId="0" fillId="0" borderId="67" xfId="1" applyFont="1" applyBorder="1" applyAlignment="1">
      <alignment horizontal="center" vertical="center"/>
    </xf>
    <xf numFmtId="41" fontId="0" fillId="26" borderId="67" xfId="1" applyFont="1" applyFill="1" applyBorder="1" applyAlignment="1">
      <alignment horizontal="center" vertical="center"/>
    </xf>
    <xf numFmtId="0" fontId="24" fillId="9" borderId="26" xfId="0" applyFont="1" applyFill="1" applyBorder="1" applyAlignment="1">
      <alignment horizontal="center" vertical="center"/>
    </xf>
    <xf numFmtId="0" fontId="9" fillId="19" borderId="45" xfId="0" applyFont="1" applyFill="1" applyBorder="1" applyAlignment="1">
      <alignment horizontal="center" vertical="center"/>
    </xf>
    <xf numFmtId="0" fontId="9" fillId="19" borderId="26" xfId="0" applyFont="1" applyFill="1" applyBorder="1" applyAlignment="1">
      <alignment horizontal="center" vertical="center"/>
    </xf>
    <xf numFmtId="9" fontId="0" fillId="7" borderId="26" xfId="2" applyFont="1" applyFill="1" applyBorder="1" applyAlignment="1">
      <alignment horizontal="center" vertical="center"/>
    </xf>
    <xf numFmtId="183" fontId="0" fillId="0" borderId="0" xfId="0" applyNumberFormat="1">
      <alignment vertical="center"/>
    </xf>
    <xf numFmtId="183" fontId="15" fillId="7" borderId="23" xfId="2" applyNumberFormat="1" applyFont="1" applyFill="1" applyBorder="1" applyAlignment="1">
      <alignment horizontal="center" vertical="center"/>
    </xf>
    <xf numFmtId="189" fontId="0" fillId="0" borderId="0" xfId="0" applyNumberFormat="1" applyAlignment="1">
      <alignment vertical="center" wrapText="1"/>
    </xf>
    <xf numFmtId="189" fontId="0" fillId="0" borderId="0" xfId="0" applyNumberFormat="1">
      <alignment vertical="center"/>
    </xf>
    <xf numFmtId="41" fontId="9" fillId="5" borderId="0" xfId="1" applyFont="1" applyFill="1" applyAlignment="1">
      <alignment horizontal="left" vertical="center"/>
    </xf>
    <xf numFmtId="0" fontId="37" fillId="0" borderId="0" xfId="3" applyFont="1">
      <alignment vertical="center"/>
    </xf>
    <xf numFmtId="0" fontId="37" fillId="25" borderId="0" xfId="3" applyFont="1" applyFill="1">
      <alignment vertical="center"/>
    </xf>
    <xf numFmtId="190" fontId="2" fillId="2" borderId="1" xfId="0" applyNumberFormat="1" applyFont="1" applyFill="1" applyBorder="1" applyAlignment="1">
      <alignment horizontal="center" vertical="center"/>
    </xf>
    <xf numFmtId="190" fontId="0" fillId="0" borderId="0" xfId="0" applyNumberFormat="1">
      <alignment vertical="center"/>
    </xf>
    <xf numFmtId="191" fontId="0" fillId="0" borderId="0" xfId="1" applyNumberFormat="1" applyFont="1" applyAlignment="1">
      <alignment horizontal="center" vertical="center"/>
    </xf>
    <xf numFmtId="191" fontId="5" fillId="8" borderId="1" xfId="1" applyNumberFormat="1" applyFont="1" applyFill="1" applyBorder="1" applyAlignment="1">
      <alignment horizontal="center" vertical="center"/>
    </xf>
    <xf numFmtId="186" fontId="31" fillId="5" borderId="50" xfId="0" applyNumberFormat="1" applyFont="1" applyFill="1" applyBorder="1">
      <alignment vertical="center"/>
    </xf>
    <xf numFmtId="184" fontId="38" fillId="5" borderId="2" xfId="3" applyNumberFormat="1" applyFont="1" applyFill="1" applyBorder="1" applyAlignment="1">
      <alignment horizontal="right" vertical="center"/>
    </xf>
    <xf numFmtId="0" fontId="22" fillId="15" borderId="11" xfId="0" applyFont="1" applyFill="1" applyBorder="1" applyAlignment="1">
      <alignment horizontal="center" vertical="center"/>
    </xf>
    <xf numFmtId="0" fontId="39" fillId="3" borderId="1" xfId="0" applyFont="1" applyFill="1" applyBorder="1" applyAlignment="1">
      <alignment vertical="center" wrapText="1"/>
    </xf>
    <xf numFmtId="0" fontId="5" fillId="25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 wrapText="1"/>
    </xf>
    <xf numFmtId="49" fontId="5" fillId="3" borderId="1" xfId="0" applyNumberFormat="1" applyFont="1" applyFill="1" applyBorder="1" applyAlignment="1">
      <alignment horizontal="left" vertical="center"/>
    </xf>
    <xf numFmtId="0" fontId="35" fillId="0" borderId="0" xfId="0" applyFont="1">
      <alignment vertical="center"/>
    </xf>
    <xf numFmtId="179" fontId="6" fillId="3" borderId="1" xfId="0" applyNumberFormat="1" applyFont="1" applyFill="1" applyBorder="1" applyAlignment="1">
      <alignment horizontal="center" vertical="center"/>
    </xf>
    <xf numFmtId="17" fontId="5" fillId="3" borderId="1" xfId="0" applyNumberFormat="1" applyFont="1" applyFill="1" applyBorder="1">
      <alignment vertical="center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49" fontId="42" fillId="3" borderId="1" xfId="0" applyNumberFormat="1" applyFont="1" applyFill="1" applyBorder="1" applyAlignment="1">
      <alignment horizontal="center" vertical="center" wrapText="1"/>
    </xf>
    <xf numFmtId="192" fontId="0" fillId="0" borderId="0" xfId="0" applyNumberFormat="1" applyAlignment="1">
      <alignment vertical="center" wrapText="1"/>
    </xf>
    <xf numFmtId="192" fontId="0" fillId="0" borderId="0" xfId="0" applyNumberFormat="1">
      <alignment vertical="center"/>
    </xf>
    <xf numFmtId="0" fontId="15" fillId="3" borderId="0" xfId="0" applyFont="1" applyFill="1" applyAlignment="1">
      <alignment horizontal="justify" vertical="center"/>
    </xf>
    <xf numFmtId="0" fontId="6" fillId="3" borderId="49" xfId="0" applyFont="1" applyFill="1" applyBorder="1" applyAlignment="1">
      <alignment horizontal="center" vertical="center"/>
    </xf>
    <xf numFmtId="179" fontId="5" fillId="3" borderId="1" xfId="0" applyNumberFormat="1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191" fontId="4" fillId="27" borderId="1" xfId="1" applyNumberFormat="1" applyFont="1" applyFill="1" applyBorder="1" applyAlignment="1">
      <alignment horizontal="center" vertical="center" wrapText="1"/>
    </xf>
    <xf numFmtId="0" fontId="4" fillId="27" borderId="1" xfId="0" applyFont="1" applyFill="1" applyBorder="1" applyAlignment="1">
      <alignment horizontal="center" vertical="center" wrapText="1"/>
    </xf>
    <xf numFmtId="0" fontId="2" fillId="27" borderId="1" xfId="0" applyFont="1" applyFill="1" applyBorder="1" applyAlignment="1">
      <alignment horizontal="center" vertical="center"/>
    </xf>
    <xf numFmtId="0" fontId="4" fillId="27" borderId="1" xfId="0" applyFont="1" applyFill="1" applyBorder="1" applyAlignment="1">
      <alignment horizontal="center" vertical="center"/>
    </xf>
    <xf numFmtId="0" fontId="2" fillId="27" borderId="1" xfId="0" applyFont="1" applyFill="1" applyBorder="1" applyAlignment="1">
      <alignment horizontal="left" vertical="center"/>
    </xf>
    <xf numFmtId="49" fontId="2" fillId="27" borderId="1" xfId="0" applyNumberFormat="1" applyFont="1" applyFill="1" applyBorder="1" applyAlignment="1">
      <alignment horizontal="center" vertical="center"/>
    </xf>
    <xf numFmtId="176" fontId="2" fillId="27" borderId="1" xfId="0" applyNumberFormat="1" applyFont="1" applyFill="1" applyBorder="1" applyAlignment="1">
      <alignment horizontal="center" vertical="center" wrapText="1"/>
    </xf>
    <xf numFmtId="177" fontId="2" fillId="27" borderId="1" xfId="0" applyNumberFormat="1" applyFont="1" applyFill="1" applyBorder="1" applyAlignment="1">
      <alignment horizontal="center" vertical="center" wrapText="1"/>
    </xf>
    <xf numFmtId="0" fontId="2" fillId="27" borderId="1" xfId="0" applyFont="1" applyFill="1" applyBorder="1" applyAlignment="1">
      <alignment horizontal="right" vertical="center"/>
    </xf>
    <xf numFmtId="0" fontId="27" fillId="22" borderId="1" xfId="0" applyFont="1" applyFill="1" applyBorder="1" applyAlignment="1">
      <alignment horizontal="center" vertical="center" wrapText="1"/>
    </xf>
    <xf numFmtId="0" fontId="27" fillId="22" borderId="27" xfId="0" applyFont="1" applyFill="1" applyBorder="1" applyAlignment="1">
      <alignment horizontal="center" vertical="center" wrapText="1"/>
    </xf>
    <xf numFmtId="0" fontId="10" fillId="5" borderId="3" xfId="3" applyFont="1" applyFill="1" applyBorder="1" applyAlignment="1">
      <alignment horizontal="center" vertical="center" wrapText="1"/>
    </xf>
    <xf numFmtId="0" fontId="10" fillId="5" borderId="4" xfId="3" applyFont="1" applyFill="1" applyBorder="1" applyAlignment="1">
      <alignment horizontal="center" vertical="center" wrapText="1"/>
    </xf>
    <xf numFmtId="0" fontId="10" fillId="7" borderId="3" xfId="3" applyFont="1" applyFill="1" applyBorder="1" applyAlignment="1">
      <alignment horizontal="center" vertical="center" wrapText="1"/>
    </xf>
    <xf numFmtId="0" fontId="10" fillId="7" borderId="4" xfId="3" applyFont="1" applyFill="1" applyBorder="1" applyAlignment="1">
      <alignment horizontal="center" vertical="center" wrapText="1"/>
    </xf>
    <xf numFmtId="0" fontId="27" fillId="22" borderId="47" xfId="0" applyFont="1" applyFill="1" applyBorder="1" applyAlignment="1">
      <alignment horizontal="center" vertical="center"/>
    </xf>
    <xf numFmtId="0" fontId="27" fillId="22" borderId="48" xfId="0" applyFont="1" applyFill="1" applyBorder="1" applyAlignment="1">
      <alignment horizontal="center" vertical="center"/>
    </xf>
    <xf numFmtId="0" fontId="8" fillId="0" borderId="0" xfId="3" applyFont="1" applyAlignment="1">
      <alignment horizontal="left" vertical="center"/>
    </xf>
    <xf numFmtId="0" fontId="1" fillId="0" borderId="0" xfId="3" applyAlignment="1">
      <alignment horizontal="left" vertical="center"/>
    </xf>
    <xf numFmtId="0" fontId="10" fillId="6" borderId="2" xfId="3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/>
    </xf>
    <xf numFmtId="0" fontId="23" fillId="0" borderId="45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191" fontId="9" fillId="5" borderId="2" xfId="0" applyNumberFormat="1" applyFont="1" applyFill="1" applyBorder="1" applyAlignment="1">
      <alignment horizontal="center" vertical="center"/>
    </xf>
    <xf numFmtId="0" fontId="9" fillId="9" borderId="3" xfId="0" applyFont="1" applyFill="1" applyBorder="1" applyAlignment="1">
      <alignment horizontal="center" vertical="center"/>
    </xf>
    <xf numFmtId="0" fontId="9" fillId="9" borderId="4" xfId="0" applyFont="1" applyFill="1" applyBorder="1" applyAlignment="1">
      <alignment horizontal="center" vertical="center"/>
    </xf>
    <xf numFmtId="0" fontId="9" fillId="19" borderId="4" xfId="0" applyFont="1" applyFill="1" applyBorder="1" applyAlignment="1">
      <alignment horizontal="center" vertical="center"/>
    </xf>
    <xf numFmtId="0" fontId="9" fillId="19" borderId="2" xfId="0" applyFont="1" applyFill="1" applyBorder="1" applyAlignment="1">
      <alignment horizontal="center" vertical="center"/>
    </xf>
    <xf numFmtId="0" fontId="9" fillId="9" borderId="45" xfId="0" applyFont="1" applyFill="1" applyBorder="1" applyAlignment="1">
      <alignment horizontal="center" vertical="center"/>
    </xf>
    <xf numFmtId="0" fontId="23" fillId="0" borderId="28" xfId="0" applyFont="1" applyBorder="1" applyAlignment="1">
      <alignment horizontal="center" vertical="center"/>
    </xf>
    <xf numFmtId="0" fontId="23" fillId="0" borderId="29" xfId="0" applyFont="1" applyBorder="1" applyAlignment="1">
      <alignment horizontal="center" vertical="center"/>
    </xf>
    <xf numFmtId="178" fontId="9" fillId="5" borderId="2" xfId="0" applyNumberFormat="1" applyFont="1" applyFill="1" applyBorder="1" applyAlignment="1">
      <alignment horizontal="center" vertical="center"/>
    </xf>
    <xf numFmtId="185" fontId="9" fillId="5" borderId="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0" fillId="12" borderId="2" xfId="3" applyFont="1" applyFill="1" applyBorder="1" applyAlignment="1">
      <alignment horizontal="center" vertical="center" wrapText="1"/>
    </xf>
    <xf numFmtId="0" fontId="1" fillId="0" borderId="2" xfId="3" applyBorder="1">
      <alignment vertical="center"/>
    </xf>
    <xf numFmtId="0" fontId="17" fillId="12" borderId="2" xfId="3" applyFont="1" applyFill="1" applyBorder="1" applyAlignment="1">
      <alignment horizontal="center" vertical="center" wrapText="1"/>
    </xf>
    <xf numFmtId="0" fontId="26" fillId="21" borderId="34" xfId="0" applyFont="1" applyFill="1" applyBorder="1" applyAlignment="1">
      <alignment horizontal="center" vertical="center"/>
    </xf>
    <xf numFmtId="0" fontId="26" fillId="21" borderId="39" xfId="0" applyFont="1" applyFill="1" applyBorder="1" applyAlignment="1">
      <alignment horizontal="center" vertical="center"/>
    </xf>
    <xf numFmtId="0" fontId="26" fillId="21" borderId="42" xfId="0" applyFont="1" applyFill="1" applyBorder="1" applyAlignment="1">
      <alignment horizontal="center" vertical="center"/>
    </xf>
    <xf numFmtId="0" fontId="26" fillId="21" borderId="35" xfId="0" applyFont="1" applyFill="1" applyBorder="1" applyAlignment="1">
      <alignment horizontal="center" vertical="center"/>
    </xf>
    <xf numFmtId="0" fontId="26" fillId="21" borderId="36" xfId="0" applyFont="1" applyFill="1" applyBorder="1" applyAlignment="1">
      <alignment horizontal="center" vertical="center"/>
    </xf>
    <xf numFmtId="0" fontId="26" fillId="21" borderId="37" xfId="0" applyFont="1" applyFill="1" applyBorder="1" applyAlignment="1">
      <alignment horizontal="center" vertical="center"/>
    </xf>
    <xf numFmtId="0" fontId="26" fillId="21" borderId="38" xfId="0" applyFont="1" applyFill="1" applyBorder="1" applyAlignment="1">
      <alignment horizontal="center" vertical="center"/>
    </xf>
    <xf numFmtId="0" fontId="26" fillId="21" borderId="0" xfId="0" applyFont="1" applyFill="1" applyAlignment="1">
      <alignment horizontal="center" vertical="center"/>
    </xf>
    <xf numFmtId="0" fontId="26" fillId="21" borderId="40" xfId="0" applyFont="1" applyFill="1" applyBorder="1" applyAlignment="1">
      <alignment horizontal="center" vertical="center"/>
    </xf>
    <xf numFmtId="0" fontId="26" fillId="21" borderId="41" xfId="0" applyFont="1" applyFill="1" applyBorder="1" applyAlignment="1">
      <alignment horizontal="center" vertical="center"/>
    </xf>
  </cellXfs>
  <cellStyles count="8">
    <cellStyle name="Currency 2" xfId="5" xr:uid="{00000000-0005-0000-0000-000000000000}"/>
    <cellStyle name="Normal 2" xfId="4" xr:uid="{00000000-0005-0000-0000-000001000000}"/>
    <cellStyle name="백분율" xfId="2" builtinId="5"/>
    <cellStyle name="쉼표 [0]" xfId="1" builtinId="6"/>
    <cellStyle name="쉼표 [0] 2" xfId="7" xr:uid="{00000000-0005-0000-0000-000004000000}"/>
    <cellStyle name="통화 2" xfId="6" xr:uid="{00000000-0005-0000-0000-000005000000}"/>
    <cellStyle name="표준" xfId="0" builtinId="0"/>
    <cellStyle name="표준 3 2" xfId="3" xr:uid="{00000000-0005-0000-0000-000007000000}"/>
  </cellStyles>
  <dxfs count="1692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1"/>
      </font>
    </dxf>
    <dxf>
      <font>
        <color theme="1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/>
              <a:t> E-Board Repair Count &amp; Cost Reduction Status</a:t>
            </a:r>
            <a:endParaRPr lang="ko-KR" sz="20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>
        <c:manualLayout>
          <c:layoutTarget val="inner"/>
          <c:xMode val="edge"/>
          <c:yMode val="edge"/>
          <c:x val="3.3675121600994562E-2"/>
          <c:y val="0.12185883608143767"/>
          <c:w val="0.91835030951050267"/>
          <c:h val="0.7308922645623028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'E-Board'!$Q$4:$Q$5</c:f>
              <c:strCache>
                <c:ptCount val="2"/>
                <c:pt idx="0">
                  <c:v>Total(Mon)</c:v>
                </c:pt>
                <c:pt idx="1">
                  <c:v>Count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'E-Board'!$B$6:$B$17</c:f>
              <c:strCache>
                <c:ptCount val="12"/>
                <c:pt idx="0">
                  <c:v>Jan.</c:v>
                </c:pt>
                <c:pt idx="1">
                  <c:v>Feb.</c:v>
                </c:pt>
                <c:pt idx="2">
                  <c:v>Mar.</c:v>
                </c:pt>
                <c:pt idx="3">
                  <c:v>Apr.</c:v>
                </c:pt>
                <c:pt idx="4">
                  <c:v>May</c:v>
                </c:pt>
                <c:pt idx="5">
                  <c:v>Jun.</c:v>
                </c:pt>
                <c:pt idx="6">
                  <c:v>Jul</c:v>
                </c:pt>
                <c:pt idx="7">
                  <c:v>Aug.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Dec.</c:v>
                </c:pt>
              </c:strCache>
            </c:strRef>
          </c:cat>
          <c:val>
            <c:numRef>
              <c:f>'E-Board'!$Q$6:$Q$17</c:f>
              <c:numCache>
                <c:formatCode>#,##0_ </c:formatCode>
                <c:ptCount val="12"/>
                <c:pt idx="0">
                  <c:v>167</c:v>
                </c:pt>
                <c:pt idx="1">
                  <c:v>165</c:v>
                </c:pt>
                <c:pt idx="2">
                  <c:v>163</c:v>
                </c:pt>
                <c:pt idx="3">
                  <c:v>167</c:v>
                </c:pt>
                <c:pt idx="4">
                  <c:v>159</c:v>
                </c:pt>
                <c:pt idx="5">
                  <c:v>167</c:v>
                </c:pt>
                <c:pt idx="6">
                  <c:v>215</c:v>
                </c:pt>
                <c:pt idx="7">
                  <c:v>140</c:v>
                </c:pt>
                <c:pt idx="8">
                  <c:v>122</c:v>
                </c:pt>
                <c:pt idx="9">
                  <c:v>149</c:v>
                </c:pt>
                <c:pt idx="10">
                  <c:v>147</c:v>
                </c:pt>
                <c:pt idx="11">
                  <c:v>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E7-4562-9369-02FF99487D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60715704"/>
        <c:axId val="360713744"/>
      </c:barChart>
      <c:lineChart>
        <c:grouping val="standard"/>
        <c:varyColors val="0"/>
        <c:ser>
          <c:idx val="1"/>
          <c:order val="1"/>
          <c:tx>
            <c:strRef>
              <c:f>'E-Board'!$R$4:$R$5</c:f>
              <c:strCache>
                <c:ptCount val="2"/>
                <c:pt idx="0">
                  <c:v>Total(Mon)</c:v>
                </c:pt>
                <c:pt idx="1">
                  <c:v>cost save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accent2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'E-Board'!$B$6:$B$17</c:f>
              <c:strCache>
                <c:ptCount val="12"/>
                <c:pt idx="0">
                  <c:v>Jan.</c:v>
                </c:pt>
                <c:pt idx="1">
                  <c:v>Feb.</c:v>
                </c:pt>
                <c:pt idx="2">
                  <c:v>Mar.</c:v>
                </c:pt>
                <c:pt idx="3">
                  <c:v>Apr.</c:v>
                </c:pt>
                <c:pt idx="4">
                  <c:v>May</c:v>
                </c:pt>
                <c:pt idx="5">
                  <c:v>Jun.</c:v>
                </c:pt>
                <c:pt idx="6">
                  <c:v>Jul</c:v>
                </c:pt>
                <c:pt idx="7">
                  <c:v>Aug.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Dec.</c:v>
                </c:pt>
              </c:strCache>
            </c:strRef>
          </c:cat>
          <c:val>
            <c:numRef>
              <c:f>'E-Board'!$R$6:$R$17</c:f>
              <c:numCache>
                <c:formatCode>#,##0.0_ </c:formatCode>
                <c:ptCount val="12"/>
                <c:pt idx="0">
                  <c:v>166.18816363636361</c:v>
                </c:pt>
                <c:pt idx="1">
                  <c:v>144.30745454545456</c:v>
                </c:pt>
                <c:pt idx="2">
                  <c:v>131.65552727272728</c:v>
                </c:pt>
                <c:pt idx="3">
                  <c:v>191.82636363636362</c:v>
                </c:pt>
                <c:pt idx="4">
                  <c:v>134.95090909090908</c:v>
                </c:pt>
                <c:pt idx="5">
                  <c:v>235.76909090909092</c:v>
                </c:pt>
                <c:pt idx="6">
                  <c:v>161.27227272727274</c:v>
                </c:pt>
                <c:pt idx="7">
                  <c:v>160.70863636363637</c:v>
                </c:pt>
                <c:pt idx="8">
                  <c:v>134.87378181818181</c:v>
                </c:pt>
                <c:pt idx="9">
                  <c:v>165.77272727272728</c:v>
                </c:pt>
                <c:pt idx="10">
                  <c:v>143.59727272727272</c:v>
                </c:pt>
                <c:pt idx="11">
                  <c:v>161.87909090909091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EE7-4562-9369-02FF99487D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0716880"/>
        <c:axId val="360716488"/>
      </c:lineChart>
      <c:catAx>
        <c:axId val="360715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360713744"/>
        <c:crosses val="autoZero"/>
        <c:auto val="1"/>
        <c:lblAlgn val="ctr"/>
        <c:lblOffset val="100"/>
        <c:noMultiLvlLbl val="0"/>
      </c:catAx>
      <c:valAx>
        <c:axId val="360713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360715704"/>
        <c:crosses val="autoZero"/>
        <c:crossBetween val="between"/>
      </c:valAx>
      <c:valAx>
        <c:axId val="360716488"/>
        <c:scaling>
          <c:orientation val="minMax"/>
        </c:scaling>
        <c:delete val="0"/>
        <c:axPos val="r"/>
        <c:numFmt formatCode="#,##0.0_ 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360716880"/>
        <c:crosses val="max"/>
        <c:crossBetween val="between"/>
      </c:valAx>
      <c:catAx>
        <c:axId val="3607168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6071648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2500"/>
              <a:t>Count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>
        <c:manualLayout>
          <c:layoutTarget val="inner"/>
          <c:xMode val="edge"/>
          <c:yMode val="edge"/>
          <c:x val="0.18459577574094396"/>
          <c:y val="0.29014771913841347"/>
          <c:w val="0.62895699898185675"/>
          <c:h val="0.66503720092839647"/>
        </c:manualLayout>
      </c:layout>
      <c:pieChart>
        <c:varyColors val="1"/>
        <c:ser>
          <c:idx val="13"/>
          <c:order val="0"/>
          <c:tx>
            <c:strRef>
              <c:f>'E-Board'!$B$20</c:f>
              <c:strCache>
                <c:ptCount val="1"/>
                <c:pt idx="0">
                  <c:v>Ratio(%)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BB0-4F23-B022-39AF38C6B11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BB0-4F23-B022-39AF38C6B11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BB0-4F23-B022-39AF38C6B11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ABB0-4F23-B022-39AF38C6B11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ABB0-4F23-B022-39AF38C6B11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BB0-4F23-B022-39AF38C6B11E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ABB0-4F23-B022-39AF38C6B11E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ABB0-4F23-B022-39AF38C6B11E}"/>
              </c:ext>
            </c:extLst>
          </c:dPt>
          <c:dLbls>
            <c:dLbl>
              <c:idx val="0"/>
              <c:layout>
                <c:manualLayout>
                  <c:x val="-8.4929257710539136E-2"/>
                  <c:y val="-0.24248017000234051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BB0-4F23-B022-39AF38C6B11E}"/>
                </c:ext>
              </c:extLst>
            </c:dLbl>
            <c:dLbl>
              <c:idx val="1"/>
              <c:layout>
                <c:manualLayout>
                  <c:x val="-0.26954602457371013"/>
                  <c:y val="0.10153901216893343"/>
                </c:manualLayout>
              </c:layout>
              <c:numFmt formatCode="General" sourceLinked="0"/>
              <c:spPr>
                <a:solidFill>
                  <a:schemeClr val="accent4"/>
                </a:solidFill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t" anchorCtr="0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3-ABB0-4F23-B022-39AF38C6B11E}"/>
                </c:ext>
              </c:extLst>
            </c:dLbl>
            <c:dLbl>
              <c:idx val="2"/>
              <c:layout>
                <c:manualLayout>
                  <c:x val="-0.36609957946965049"/>
                  <c:y val="5.4966269712153747E-3"/>
                </c:manualLayout>
              </c:layout>
              <c:numFmt formatCode="General" sourceLinked="0"/>
              <c:spPr>
                <a:solidFill>
                  <a:schemeClr val="bg1">
                    <a:lumMod val="8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t" anchorCtr="0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ABB0-4F23-B022-39AF38C6B11E}"/>
                </c:ext>
              </c:extLst>
            </c:dLbl>
            <c:dLbl>
              <c:idx val="3"/>
              <c:layout>
                <c:manualLayout>
                  <c:x val="-0.37928825971744318"/>
                  <c:y val="-9.0915381445087942E-2"/>
                </c:manualLayout>
              </c:layout>
              <c:numFmt formatCode="General" sourceLinked="0"/>
              <c:spPr>
                <a:solidFill>
                  <a:srgbClr val="FFFF00"/>
                </a:solidFill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t" anchorCtr="0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7-ABB0-4F23-B022-39AF38C6B11E}"/>
                </c:ext>
              </c:extLst>
            </c:dLbl>
            <c:dLbl>
              <c:idx val="4"/>
              <c:layout>
                <c:manualLayout>
                  <c:x val="0.40361640919722164"/>
                  <c:y val="-0.10904232012320775"/>
                </c:manualLayout>
              </c:layout>
              <c:numFmt formatCode="General" sourceLinked="0"/>
              <c:spPr>
                <a:solidFill>
                  <a:schemeClr val="accent1">
                    <a:lumMod val="60000"/>
                    <a:lumOff val="40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t" anchorCtr="0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9-ABB0-4F23-B022-39AF38C6B11E}"/>
                </c:ext>
              </c:extLst>
            </c:dLbl>
            <c:dLbl>
              <c:idx val="5"/>
              <c:layout>
                <c:manualLayout>
                  <c:x val="0.39521667498536789"/>
                  <c:y val="0.11198965315286002"/>
                </c:manualLayout>
              </c:layout>
              <c:numFmt formatCode="General" sourceLinked="0"/>
              <c:spPr>
                <a:solidFill>
                  <a:schemeClr val="accent6">
                    <a:lumMod val="40000"/>
                    <a:lumOff val="60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t" anchorCtr="0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15930877029080989"/>
                      <c:h val="0.1293388429752065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B-ABB0-4F23-B022-39AF38C6B11E}"/>
                </c:ext>
              </c:extLst>
            </c:dLbl>
            <c:dLbl>
              <c:idx val="6"/>
              <c:layout>
                <c:manualLayout>
                  <c:x val="0.40010101426611094"/>
                  <c:y val="-1.2108847964252403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ABB0-4F23-B022-39AF38C6B11E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ABB0-4F23-B022-39AF38C6B11E}"/>
                </c:ext>
              </c:extLst>
            </c:dLbl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t" anchorCtr="0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multiLvlStrRef>
              <c:extLst>
                <c:ext xmlns:c15="http://schemas.microsoft.com/office/drawing/2012/chart" uri="{02D57815-91ED-43cb-92C2-25804820EDAC}">
                  <c15:fullRef>
                    <c15:sqref>'E-Board'!$C$4:$R$5</c15:sqref>
                  </c15:fullRef>
                </c:ext>
              </c:extLst>
              <c:f>('E-Board'!$C$4:$C$5,'E-Board'!$E$4:$E$5,'E-Board'!$G$4:$G$5,'E-Board'!$I$4:$I$5,'E-Board'!$K$4:$K$5,'E-Board'!$M$4:$M$5,'E-Board'!$O$4:$R$5)</c:f>
              <c:multiLvlStrCache>
                <c:ptCount val="8"/>
                <c:lvl>
                  <c:pt idx="0">
                    <c:v>Count</c:v>
                  </c:pt>
                  <c:pt idx="1">
                    <c:v>Count</c:v>
                  </c:pt>
                  <c:pt idx="2">
                    <c:v>Count</c:v>
                  </c:pt>
                  <c:pt idx="3">
                    <c:v>Count</c:v>
                  </c:pt>
                  <c:pt idx="4">
                    <c:v>Count</c:v>
                  </c:pt>
                  <c:pt idx="5">
                    <c:v>Count</c:v>
                  </c:pt>
                  <c:pt idx="6">
                    <c:v>Count</c:v>
                  </c:pt>
                  <c:pt idx="7">
                    <c:v>Cost Save</c:v>
                  </c:pt>
                </c:lvl>
                <c:lvl>
                  <c:pt idx="0">
                    <c:v>ATK</c:v>
                  </c:pt>
                  <c:pt idx="1">
                    <c:v>ATP</c:v>
                  </c:pt>
                  <c:pt idx="2">
                    <c:v>ATC</c:v>
                  </c:pt>
                  <c:pt idx="3">
                    <c:v>ATT</c:v>
                  </c:pt>
                  <c:pt idx="4">
                    <c:v>ATM</c:v>
                  </c:pt>
                  <c:pt idx="5">
                    <c:v>ATJ</c:v>
                  </c:pt>
                  <c:pt idx="6">
                    <c:v>ATEP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'E-Board'!$C$20:$R$20</c15:sqref>
                  </c15:fullRef>
                </c:ext>
              </c:extLst>
              <c:f>('E-Board'!$C$20,'E-Board'!$E$20,'E-Board'!$G$20,'E-Board'!$I$20,'E-Board'!$K$20,'E-Board'!$M$20,'E-Board'!$O$20:$P$20)</c:f>
              <c:numCache>
                <c:formatCode>0.0%</c:formatCode>
                <c:ptCount val="8"/>
                <c:pt idx="0">
                  <c:v>0.95759162303664924</c:v>
                </c:pt>
                <c:pt idx="1">
                  <c:v>3.5602094240837698E-2</c:v>
                </c:pt>
                <c:pt idx="2">
                  <c:v>2.617801047120419E-3</c:v>
                </c:pt>
                <c:pt idx="3">
                  <c:v>0</c:v>
                </c:pt>
                <c:pt idx="4">
                  <c:v>0</c:v>
                </c:pt>
                <c:pt idx="5">
                  <c:v>2.617801047120419E-3</c:v>
                </c:pt>
                <c:pt idx="6">
                  <c:v>1.5706806282722514E-3</c:v>
                </c:pt>
                <c:pt idx="7">
                  <c:v>4.8377733341933822E-3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14-ABB0-4F23-B022-39AF38C6B1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2500"/>
              <a:t>Cost</a:t>
            </a:r>
            <a:r>
              <a:rPr lang="en-US" altLang="ko-KR" sz="2500" baseline="0"/>
              <a:t> Save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>
        <c:manualLayout>
          <c:layoutTarget val="inner"/>
          <c:xMode val="edge"/>
          <c:yMode val="edge"/>
          <c:x val="0.26562089783947052"/>
          <c:y val="0.30916075573197971"/>
          <c:w val="0.52086212667048826"/>
          <c:h val="0.6545593371076549"/>
        </c:manualLayout>
      </c:layout>
      <c:pieChart>
        <c:varyColors val="1"/>
        <c:ser>
          <c:idx val="13"/>
          <c:order val="0"/>
          <c:tx>
            <c:strRef>
              <c:f>'E-Board'!$B$20</c:f>
              <c:strCache>
                <c:ptCount val="1"/>
                <c:pt idx="0">
                  <c:v>Ratio(%)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C08-42B1-8929-B9B9D50BB8A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C08-42B1-8929-B9B9D50BB8A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C08-42B1-8929-B9B9D50BB8A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C08-42B1-8929-B9B9D50BB8A2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9C08-42B1-8929-B9B9D50BB8A2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9C08-42B1-8929-B9B9D50BB8A2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9C08-42B1-8929-B9B9D50BB8A2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9C08-42B1-8929-B9B9D50BB8A2}"/>
              </c:ext>
            </c:extLst>
          </c:dPt>
          <c:dLbls>
            <c:dLbl>
              <c:idx val="0"/>
              <c:layout>
                <c:manualLayout>
                  <c:x val="-0.15855186406416774"/>
                  <c:y val="-0.2066265373853061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C08-42B1-8929-B9B9D50BB8A2}"/>
                </c:ext>
              </c:extLst>
            </c:dLbl>
            <c:dLbl>
              <c:idx val="1"/>
              <c:layout>
                <c:manualLayout>
                  <c:x val="-0.18316128750334976"/>
                  <c:y val="0.22001865469295676"/>
                </c:manualLayout>
              </c:layout>
              <c:numFmt formatCode="General" sourceLinked="0"/>
              <c:spPr>
                <a:solidFill>
                  <a:srgbClr val="FFC000"/>
                </a:solidFill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t" anchorCtr="0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3-9C08-42B1-8929-B9B9D50BB8A2}"/>
                </c:ext>
              </c:extLst>
            </c:dLbl>
            <c:dLbl>
              <c:idx val="2"/>
              <c:layout>
                <c:manualLayout>
                  <c:x val="-0.22629221273909561"/>
                  <c:y val="0.13935988373354158"/>
                </c:manualLayout>
              </c:layout>
              <c:numFmt formatCode="General" sourceLinked="0"/>
              <c:spPr>
                <a:solidFill>
                  <a:schemeClr val="bg2">
                    <a:lumMod val="90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t" anchorCtr="0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9C08-42B1-8929-B9B9D50BB8A2}"/>
                </c:ext>
              </c:extLst>
            </c:dLbl>
            <c:dLbl>
              <c:idx val="3"/>
              <c:layout>
                <c:manualLayout>
                  <c:x val="-0.29424193573012908"/>
                  <c:y val="3.3743085833279104E-2"/>
                </c:manualLayout>
              </c:layout>
              <c:numFmt formatCode="General" sourceLinked="0"/>
              <c:spPr>
                <a:solidFill>
                  <a:srgbClr val="FFFF00"/>
                </a:solidFill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t" anchorCtr="0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7-9C08-42B1-8929-B9B9D50BB8A2}"/>
                </c:ext>
              </c:extLst>
            </c:dLbl>
            <c:dLbl>
              <c:idx val="4"/>
              <c:layout>
                <c:manualLayout>
                  <c:x val="0.37576545614255846"/>
                  <c:y val="-5.8390490444892737E-2"/>
                </c:manualLayout>
              </c:layout>
              <c:numFmt formatCode="General" sourceLinked="0"/>
              <c:spPr>
                <a:solidFill>
                  <a:schemeClr val="accent1">
                    <a:lumMod val="60000"/>
                    <a:lumOff val="40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t" anchorCtr="0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9-9C08-42B1-8929-B9B9D50BB8A2}"/>
                </c:ext>
              </c:extLst>
            </c:dLbl>
            <c:dLbl>
              <c:idx val="5"/>
              <c:layout>
                <c:manualLayout>
                  <c:x val="0.36693564325588196"/>
                  <c:y val="0.16549098718032146"/>
                </c:manualLayout>
              </c:layout>
              <c:numFmt formatCode="General" sourceLinked="0"/>
              <c:spPr>
                <a:solidFill>
                  <a:schemeClr val="accent6">
                    <a:lumMod val="60000"/>
                    <a:lumOff val="40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t" anchorCtr="0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B-9C08-42B1-8929-B9B9D50BB8A2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C08-42B1-8929-B9B9D50BB8A2}"/>
                </c:ext>
              </c:extLst>
            </c:dLbl>
            <c:dLbl>
              <c:idx val="7"/>
              <c:layout>
                <c:manualLayout>
                  <c:x val="0.36740583014481376"/>
                  <c:y val="2.355502049847075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9C08-42B1-8929-B9B9D50BB8A2}"/>
                </c:ext>
              </c:extLst>
            </c:dLbl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t" anchorCtr="0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multiLvlStrRef>
              <c:extLst>
                <c:ext xmlns:c15="http://schemas.microsoft.com/office/drawing/2012/chart" uri="{02D57815-91ED-43cb-92C2-25804820EDAC}">
                  <c15:fullRef>
                    <c15:sqref>'E-Board'!$C$4:$R$5</c15:sqref>
                  </c15:fullRef>
                </c:ext>
              </c:extLst>
              <c:f>('E-Board'!$D$4:$D$5,'E-Board'!$F$4:$F$5,'E-Board'!$H$4:$H$5,'E-Board'!$J$4:$J$5,'E-Board'!$L$4:$L$5,'E-Board'!$N$4:$R$5)</c:f>
              <c:multiLvlStrCache>
                <c:ptCount val="8"/>
                <c:lvl>
                  <c:pt idx="0">
                    <c:v>Cost Save</c:v>
                  </c:pt>
                  <c:pt idx="1">
                    <c:v>Cost Save</c:v>
                  </c:pt>
                  <c:pt idx="2">
                    <c:v>Cost Save</c:v>
                  </c:pt>
                  <c:pt idx="3">
                    <c:v>Cost Save</c:v>
                  </c:pt>
                  <c:pt idx="4">
                    <c:v>Cost Save</c:v>
                  </c:pt>
                  <c:pt idx="5">
                    <c:v>Cost Save</c:v>
                  </c:pt>
                  <c:pt idx="6">
                    <c:v>Count</c:v>
                  </c:pt>
                  <c:pt idx="7">
                    <c:v>Cost Save</c:v>
                  </c:pt>
                </c:lvl>
                <c:lvl>
                  <c:pt idx="6">
                    <c:v>ATEP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'E-Board'!$C$20:$R$20</c15:sqref>
                  </c15:fullRef>
                </c:ext>
              </c:extLst>
              <c:f>('E-Board'!$D$20,'E-Board'!$F$20,'E-Board'!$H$20,'E-Board'!$J$20,'E-Board'!$L$20,'E-Board'!$N$20:$P$20)</c:f>
              <c:numCache>
                <c:formatCode>0.0%</c:formatCode>
                <c:ptCount val="8"/>
                <c:pt idx="0">
                  <c:v>0.95112494798059044</c:v>
                </c:pt>
                <c:pt idx="1">
                  <c:v>3.9009484406293336E-2</c:v>
                </c:pt>
                <c:pt idx="2">
                  <c:v>1.8766920036392587E-3</c:v>
                </c:pt>
                <c:pt idx="3">
                  <c:v>0</c:v>
                </c:pt>
                <c:pt idx="4">
                  <c:v>0</c:v>
                </c:pt>
                <c:pt idx="5">
                  <c:v>3.1511022752835124E-3</c:v>
                </c:pt>
                <c:pt idx="6">
                  <c:v>1.5706806282722514E-3</c:v>
                </c:pt>
                <c:pt idx="7">
                  <c:v>4.8377733341933822E-3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'E-Board'!$C$20</c15:sqref>
                  <c15:spPr xmlns:c15="http://schemas.microsoft.com/office/drawing/2012/chart">
                    <a:solidFill>
                      <a:schemeClr val="accent1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15:spPr>
                  <c15:bubble3D val="0"/>
                  <c15:dLbl>
                    <c:idx val="-1"/>
                    <c:layout>
                      <c:manualLayout>
                        <c:x val="-8.4929257710539136E-2"/>
                        <c:y val="-0.24248017000234051"/>
                      </c:manualLayout>
                    </c:layout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 xmlns:c16="http://schemas.microsoft.com/office/drawing/2014/chart">
                      <c:ext uri="{CE6537A1-D6FC-4f65-9D91-7224C49458BB}"/>
                      <c:ext xmlns:c16="http://schemas.microsoft.com/office/drawing/2014/chart" uri="{C3380CC4-5D6E-409C-BE32-E72D297353CC}">
                        <c16:uniqueId val="{00000011-FD90-448C-A2CB-D36FE84DDA9F}"/>
                      </c:ext>
                    </c:extLst>
                  </c15:dLbl>
                </c15:categoryFilterException>
                <c15:categoryFilterException>
                  <c15:sqref>'E-Board'!$E$20</c15:sqref>
                  <c15:spPr xmlns:c15="http://schemas.microsoft.com/office/drawing/2012/chart">
                    <a:solidFill>
                      <a:schemeClr val="accent3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15:spPr>
                  <c15:bubble3D val="0"/>
                  <c15:dLbl>
                    <c:idx val="0"/>
                    <c:layout>
                      <c:manualLayout>
                        <c:x val="-0.26434066169455162"/>
                        <c:y val="0.12908727879744583"/>
                      </c:manualLayout>
                    </c:layout>
                    <c:numFmt formatCode="General" sourceLinked="0"/>
                    <c:spPr>
                      <a:solidFill>
                        <a:schemeClr val="accent4"/>
                      </a:solidFill>
                      <a:ln>
                        <a:noFill/>
                      </a:ln>
                      <a:effectLst/>
                    </c:spPr>
                    <c:txPr>
                      <a:bodyPr rot="0" spcFirstLastPara="1" vertOverflow="overflow" horzOverflow="overflow" vert="horz" wrap="square" lIns="38100" tIns="19050" rIns="38100" bIns="19050" anchor="t" anchorCtr="0">
                        <a:spAutoFit/>
                      </a:bodyPr>
                      <a:lstStyle/>
                      <a:p>
                        <a:pPr>
                          <a:defRPr sz="1200" b="1" i="0" u="none" strike="noStrike" kern="1200" baseline="0">
                            <a:solidFill>
                              <a:schemeClr val="tx1">
                                <a:lumMod val="75000"/>
                                <a:lumOff val="2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ko-KR"/>
                      </a:p>
                    </c:txPr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 xmlns:c16="http://schemas.microsoft.com/office/drawing/2014/chart">
                      <c:ext uri="{CE6537A1-D6FC-4f65-9D91-7224C49458BB}">
                        <c15:spPr xmlns:c15="http://schemas.microsoft.com/office/drawing/2012/chart">
                          <a:prstGeom prst="rect">
                            <a:avLst/>
                          </a:prstGeom>
                          <a:noFill/>
                          <a:ln>
                            <a:noFill/>
                          </a:ln>
                        </c15:spPr>
                      </c:ext>
                      <c:ext xmlns:c16="http://schemas.microsoft.com/office/drawing/2014/chart" uri="{C3380CC4-5D6E-409C-BE32-E72D297353CC}">
                        <c16:uniqueId val="{00000013-FD90-448C-A2CB-D36FE84DDA9F}"/>
                      </c:ext>
                    </c:extLst>
                  </c15:dLbl>
                </c15:categoryFilterException>
                <c15:categoryFilterException>
                  <c15:sqref>'E-Board'!$G$20</c15:sqref>
                  <c15:spPr xmlns:c15="http://schemas.microsoft.com/office/drawing/2012/chart"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15:spPr>
                  <c15:bubble3D val="0"/>
                  <c15:dLbl>
                    <c:idx val="1"/>
                    <c:layout>
                      <c:manualLayout>
                        <c:x val="-0.28533329167822108"/>
                        <c:y val="4.4064198360809555E-2"/>
                      </c:manualLayout>
                    </c:layout>
                    <c:numFmt formatCode="General" sourceLinked="0"/>
                    <c:spPr>
                      <a:solidFill>
                        <a:schemeClr val="bg1">
                          <a:lumMod val="85000"/>
                        </a:schemeClr>
                      </a:solidFill>
                      <a:ln>
                        <a:noFill/>
                      </a:ln>
                      <a:effectLst/>
                    </c:spPr>
                    <c:txPr>
                      <a:bodyPr rot="0" spcFirstLastPara="1" vertOverflow="overflow" horzOverflow="overflow" vert="horz" wrap="square" lIns="38100" tIns="19050" rIns="38100" bIns="19050" anchor="t" anchorCtr="0">
                        <a:spAutoFit/>
                      </a:bodyPr>
                      <a:lstStyle/>
                      <a:p>
                        <a:pPr>
                          <a:defRPr sz="1200" b="1" i="0" u="none" strike="noStrike" kern="1200" baseline="0">
                            <a:solidFill>
                              <a:schemeClr val="tx1">
                                <a:lumMod val="75000"/>
                                <a:lumOff val="2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ko-KR"/>
                      </a:p>
                    </c:txPr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 xmlns:c16="http://schemas.microsoft.com/office/drawing/2014/chart">
                      <c:ext uri="{CE6537A1-D6FC-4f65-9D91-7224C49458BB}">
                        <c15:spPr xmlns:c15="http://schemas.microsoft.com/office/drawing/2012/chart">
                          <a:prstGeom prst="rect">
                            <a:avLst/>
                          </a:prstGeom>
                          <a:noFill/>
                          <a:ln>
                            <a:noFill/>
                          </a:ln>
                        </c15:spPr>
                      </c:ext>
                      <c:ext xmlns:c16="http://schemas.microsoft.com/office/drawing/2014/chart" uri="{C3380CC4-5D6E-409C-BE32-E72D297353CC}">
                        <c16:uniqueId val="{00000015-FD90-448C-A2CB-D36FE84DDA9F}"/>
                      </c:ext>
                    </c:extLst>
                  </c15:dLbl>
                </c15:categoryFilterException>
                <c15:categoryFilterException>
                  <c15:sqref>'E-Board'!$I$20</c15:sqref>
                  <c15:spPr xmlns:c15="http://schemas.microsoft.com/office/drawing/2012/chart">
                    <a:solidFill>
                      <a:schemeClr val="accent1">
                        <a:lumMod val="60000"/>
                      </a:schemeClr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15:spPr>
                  <c15:bubble3D val="0"/>
                  <c15:dLbl>
                    <c:idx val="2"/>
                    <c:layout>
                      <c:manualLayout>
                        <c:x val="-0.23078251963834909"/>
                        <c:y val="-3.8573766147799345E-2"/>
                      </c:manualLayout>
                    </c:layout>
                    <c:numFmt formatCode="General" sourceLinked="0"/>
                    <c:spPr>
                      <a:solidFill>
                        <a:srgbClr val="FFFF00"/>
                      </a:solidFill>
                      <a:ln>
                        <a:noFill/>
                      </a:ln>
                      <a:effectLst/>
                    </c:spPr>
                    <c:txPr>
                      <a:bodyPr rot="0" spcFirstLastPara="1" vertOverflow="overflow" horzOverflow="overflow" vert="horz" wrap="square" lIns="38100" tIns="19050" rIns="38100" bIns="19050" anchor="t" anchorCtr="0">
                        <a:spAutoFit/>
                      </a:bodyPr>
                      <a:lstStyle/>
                      <a:p>
                        <a:pPr>
                          <a:defRPr sz="1200" b="1" i="0" u="none" strike="noStrike" kern="1200" baseline="0">
                            <a:solidFill>
                              <a:schemeClr val="tx1">
                                <a:lumMod val="75000"/>
                                <a:lumOff val="2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ko-KR"/>
                      </a:p>
                    </c:txPr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 xmlns:c16="http://schemas.microsoft.com/office/drawing/2014/chart">
                      <c:ext uri="{CE6537A1-D6FC-4f65-9D91-7224C49458BB}">
                        <c15:spPr xmlns:c15="http://schemas.microsoft.com/office/drawing/2012/chart">
                          <a:prstGeom prst="rect">
                            <a:avLst/>
                          </a:prstGeom>
                          <a:noFill/>
                          <a:ln>
                            <a:noFill/>
                          </a:ln>
                        </c15:spPr>
                      </c:ext>
                      <c:ext xmlns:c16="http://schemas.microsoft.com/office/drawing/2014/chart" uri="{C3380CC4-5D6E-409C-BE32-E72D297353CC}">
                        <c16:uniqueId val="{00000017-FD90-448C-A2CB-D36FE84DDA9F}"/>
                      </c:ext>
                    </c:extLst>
                  </c15:dLbl>
                </c15:categoryFilterException>
                <c15:categoryFilterException>
                  <c15:sqref>'E-Board'!$K$20</c15:sqref>
                  <c15:spPr xmlns:c15="http://schemas.microsoft.com/office/drawing/2012/chart">
                    <a:solidFill>
                      <a:schemeClr val="accent3">
                        <a:lumMod val="60000"/>
                      </a:schemeClr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15:spPr>
                  <c15:bubble3D val="0"/>
                  <c15:dLbl>
                    <c:idx val="3"/>
                    <c:layout>
                      <c:manualLayout>
                        <c:x val="-0.10964037976470951"/>
                        <c:y val="-5.3945945277145677E-2"/>
                      </c:manualLayout>
                    </c:layout>
                    <c:numFmt formatCode="General" sourceLinked="0"/>
                    <c:spPr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  <a:ln>
                        <a:noFill/>
                      </a:ln>
                      <a:effectLst/>
                    </c:spPr>
                    <c:txPr>
                      <a:bodyPr rot="0" spcFirstLastPara="1" vertOverflow="overflow" horzOverflow="overflow" vert="horz" wrap="square" lIns="38100" tIns="19050" rIns="38100" bIns="19050" anchor="t" anchorCtr="0">
                        <a:spAutoFit/>
                      </a:bodyPr>
                      <a:lstStyle/>
                      <a:p>
                        <a:pPr>
                          <a:defRPr sz="1200" b="1" i="0" u="none" strike="noStrike" kern="1200" baseline="0">
                            <a:solidFill>
                              <a:schemeClr val="tx1">
                                <a:lumMod val="75000"/>
                                <a:lumOff val="2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ko-KR"/>
                      </a:p>
                    </c:txPr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 xmlns:c16="http://schemas.microsoft.com/office/drawing/2014/chart">
                      <c:ext uri="{CE6537A1-D6FC-4f65-9D91-7224C49458BB}">
                        <c15:spPr xmlns:c15="http://schemas.microsoft.com/office/drawing/2012/chart">
                          <a:prstGeom prst="rect">
                            <a:avLst/>
                          </a:prstGeom>
                          <a:noFill/>
                          <a:ln>
                            <a:noFill/>
                          </a:ln>
                        </c15:spPr>
                      </c:ext>
                      <c:ext xmlns:c16="http://schemas.microsoft.com/office/drawing/2014/chart" uri="{C3380CC4-5D6E-409C-BE32-E72D297353CC}">
                        <c16:uniqueId val="{00000019-FD90-448C-A2CB-D36FE84DDA9F}"/>
                      </c:ext>
                    </c:extLst>
                  </c15:dLbl>
                </c15:categoryFilterException>
                <c15:categoryFilterException>
                  <c15:sqref>'E-Board'!$M$20</c15:sqref>
                  <c15:spPr xmlns:c15="http://schemas.microsoft.com/office/drawing/2012/chart">
                    <a:solidFill>
                      <a:schemeClr val="accent5">
                        <a:lumMod val="60000"/>
                      </a:schemeClr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15:spPr>
                  <c15:bubble3D val="0"/>
                  <c15:dLbl>
                    <c:idx val="4"/>
                    <c:layout>
                      <c:manualLayout>
                        <c:x val="0.17862449354626725"/>
                        <c:y val="2.6590188984285508E-2"/>
                      </c:manualLayout>
                    </c:layout>
                    <c:numFmt formatCode="General" sourceLinked="0"/>
                    <c:spPr>
                      <a:solidFill>
                        <a:schemeClr val="accent6">
                          <a:lumMod val="40000"/>
                          <a:lumOff val="60000"/>
                        </a:schemeClr>
                      </a:solidFill>
                      <a:ln>
                        <a:noFill/>
                      </a:ln>
                      <a:effectLst/>
                    </c:spPr>
                    <c:txPr>
                      <a:bodyPr rot="0" spcFirstLastPara="1" vertOverflow="overflow" horzOverflow="overflow" vert="horz" wrap="square" lIns="38100" tIns="19050" rIns="38100" bIns="19050" anchor="t" anchorCtr="0">
                        <a:spAutoFit/>
                      </a:bodyPr>
                      <a:lstStyle/>
                      <a:p>
                        <a:pPr>
                          <a:defRPr sz="1200" b="1" i="0" u="none" strike="noStrike" kern="1200" baseline="0">
                            <a:solidFill>
                              <a:schemeClr val="tx1">
                                <a:lumMod val="75000"/>
                                <a:lumOff val="25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ko-KR"/>
                      </a:p>
                    </c:txPr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 xmlns:c16="http://schemas.microsoft.com/office/drawing/2014/chart">
                      <c:ext uri="{CE6537A1-D6FC-4f65-9D91-7224C49458BB}">
                        <c15:spPr xmlns:c15="http://schemas.microsoft.com/office/drawing/2012/chart">
                          <a:prstGeom prst="rect">
                            <a:avLst/>
                          </a:prstGeom>
                          <a:noFill/>
                          <a:ln>
                            <a:noFill/>
                          </a:ln>
                        </c15:spPr>
                      </c:ext>
                      <c:ext xmlns:c16="http://schemas.microsoft.com/office/drawing/2014/chart" uri="{C3380CC4-5D6E-409C-BE32-E72D297353CC}">
                        <c16:uniqueId val="{0000001B-FD90-448C-A2CB-D36FE84DDA9F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14-9C08-42B1-8929-B9B9D50BB8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2000"/>
              <a:t>Technical Support Q'ty Rate</a:t>
            </a:r>
            <a:endParaRPr lang="ko-KR" altLang="en-US" sz="20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'Weekly Performance'!$B$2:$B$3</c:f>
              <c:strCache>
                <c:ptCount val="2"/>
                <c:pt idx="0">
                  <c:v>Technical Support(Complete)</c:v>
                </c:pt>
                <c:pt idx="1">
                  <c:v>건수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F533-41E3-926F-432D688D249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F533-41E3-926F-432D688D249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F533-41E3-926F-432D688D249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F533-41E3-926F-432D688D249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F533-41E3-926F-432D688D249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6ADB-4BC6-8240-3BA79279909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'Weekly Performance'!$A$4:$A$10</c:f>
              <c:strCache>
                <c:ptCount val="6"/>
                <c:pt idx="0">
                  <c:v>강영구</c:v>
                </c:pt>
                <c:pt idx="1">
                  <c:v>장은철</c:v>
                </c:pt>
                <c:pt idx="2">
                  <c:v>허준영</c:v>
                </c:pt>
                <c:pt idx="3">
                  <c:v>박병대</c:v>
                </c:pt>
                <c:pt idx="4">
                  <c:v>최준영</c:v>
                </c:pt>
                <c:pt idx="5">
                  <c:v>정기수</c:v>
                </c:pt>
              </c:strCache>
            </c:strRef>
          </c:cat>
          <c:val>
            <c:numRef>
              <c:f>'Weekly Performance'!$B$4:$B$10</c:f>
              <c:numCache>
                <c:formatCode>_(* #,##0_);_(* \(#,##0\);_(* "-"_);_(@_)</c:formatCode>
                <c:ptCount val="6"/>
                <c:pt idx="0">
                  <c:v>2</c:v>
                </c:pt>
                <c:pt idx="1">
                  <c:v>6</c:v>
                </c:pt>
                <c:pt idx="2">
                  <c:v>4</c:v>
                </c:pt>
                <c:pt idx="3">
                  <c:v>0</c:v>
                </c:pt>
                <c:pt idx="4">
                  <c:v>3</c:v>
                </c:pt>
                <c:pt idx="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533-41E3-926F-432D688D24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legendEntry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legendEntry>
      <c:legendEntry>
        <c:idx val="2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legendEntry>
      <c:legendEntry>
        <c:idx val="3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legendEntry>
      <c:legendEntry>
        <c:idx val="4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legendEntry>
      <c:layout>
        <c:manualLayout>
          <c:xMode val="edge"/>
          <c:yMode val="edge"/>
          <c:x val="0.8568215943081926"/>
          <c:y val="0.10403941241500075"/>
          <c:w val="0.1110653811665063"/>
          <c:h val="0.8027466098773370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800" b="0" i="0" baseline="0">
                <a:effectLst/>
              </a:rPr>
              <a:t>Technical Support Q'ty &amp; Cost Save(Kwon) </a:t>
            </a:r>
            <a:endParaRPr lang="ko-KR" altLang="ko-KR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>
        <c:manualLayout>
          <c:layoutTarget val="inner"/>
          <c:xMode val="edge"/>
          <c:yMode val="edge"/>
          <c:x val="3.94122676784033E-2"/>
          <c:y val="0.21418988210969714"/>
          <c:w val="0.88666497366363994"/>
          <c:h val="0.59491626048680979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'Weekly Performance'!$D$2:$D$3</c:f>
              <c:strCache>
                <c:ptCount val="2"/>
                <c:pt idx="0">
                  <c:v>Technical Support(Complete)</c:v>
                </c:pt>
                <c:pt idx="1">
                  <c:v>Cost Save(K\)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accent4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'Weekly Performance'!$A$4:$A$10</c:f>
              <c:strCache>
                <c:ptCount val="6"/>
                <c:pt idx="0">
                  <c:v>강영구</c:v>
                </c:pt>
                <c:pt idx="1">
                  <c:v>장은철</c:v>
                </c:pt>
                <c:pt idx="2">
                  <c:v>허준영</c:v>
                </c:pt>
                <c:pt idx="3">
                  <c:v>박병대</c:v>
                </c:pt>
                <c:pt idx="4">
                  <c:v>최준영</c:v>
                </c:pt>
                <c:pt idx="5">
                  <c:v>정기수</c:v>
                </c:pt>
              </c:strCache>
            </c:strRef>
          </c:cat>
          <c:val>
            <c:numRef>
              <c:f>'Weekly Performance'!$D$4:$D$10</c:f>
              <c:numCache>
                <c:formatCode>_(* #,##0_);_(* \(#,##0\);_(* "-"_);_(@_)</c:formatCode>
                <c:ptCount val="6"/>
                <c:pt idx="0">
                  <c:v>980</c:v>
                </c:pt>
                <c:pt idx="1">
                  <c:v>6734</c:v>
                </c:pt>
                <c:pt idx="2">
                  <c:v>9700</c:v>
                </c:pt>
                <c:pt idx="3">
                  <c:v>0</c:v>
                </c:pt>
                <c:pt idx="4">
                  <c:v>6841</c:v>
                </c:pt>
                <c:pt idx="5">
                  <c:v>4500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D9-414C-8F7C-485F5E0BC3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49941648"/>
        <c:axId val="150130568"/>
      </c:barChart>
      <c:lineChart>
        <c:grouping val="standard"/>
        <c:varyColors val="0"/>
        <c:ser>
          <c:idx val="0"/>
          <c:order val="0"/>
          <c:tx>
            <c:strRef>
              <c:f>'Weekly Performance'!$B$2:$B$3</c:f>
              <c:strCache>
                <c:ptCount val="2"/>
                <c:pt idx="0">
                  <c:v>Technical Support(Complete)</c:v>
                </c:pt>
                <c:pt idx="1">
                  <c:v>건수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'Weekly Performance'!$A$4:$A$10</c:f>
              <c:strCache>
                <c:ptCount val="6"/>
                <c:pt idx="0">
                  <c:v>강영구</c:v>
                </c:pt>
                <c:pt idx="1">
                  <c:v>장은철</c:v>
                </c:pt>
                <c:pt idx="2">
                  <c:v>허준영</c:v>
                </c:pt>
                <c:pt idx="3">
                  <c:v>박병대</c:v>
                </c:pt>
                <c:pt idx="4">
                  <c:v>최준영</c:v>
                </c:pt>
                <c:pt idx="5">
                  <c:v>정기수</c:v>
                </c:pt>
              </c:strCache>
            </c:strRef>
          </c:cat>
          <c:val>
            <c:numRef>
              <c:f>'Weekly Performance'!$B$4:$B$10</c:f>
              <c:numCache>
                <c:formatCode>_(* #,##0_);_(* \(#,##0\);_(* "-"_);_(@_)</c:formatCode>
                <c:ptCount val="6"/>
                <c:pt idx="0">
                  <c:v>2</c:v>
                </c:pt>
                <c:pt idx="1">
                  <c:v>6</c:v>
                </c:pt>
                <c:pt idx="2">
                  <c:v>4</c:v>
                </c:pt>
                <c:pt idx="3">
                  <c:v>0</c:v>
                </c:pt>
                <c:pt idx="4">
                  <c:v>3</c:v>
                </c:pt>
                <c:pt idx="5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1D9-414C-8F7C-485F5E0BC3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0714920"/>
        <c:axId val="360715312"/>
      </c:lineChart>
      <c:catAx>
        <c:axId val="360714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360715312"/>
        <c:crosses val="autoZero"/>
        <c:auto val="1"/>
        <c:lblAlgn val="ctr"/>
        <c:lblOffset val="100"/>
        <c:noMultiLvlLbl val="0"/>
      </c:catAx>
      <c:valAx>
        <c:axId val="360715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360714920"/>
        <c:crosses val="autoZero"/>
        <c:crossBetween val="between"/>
      </c:valAx>
      <c:valAx>
        <c:axId val="150130568"/>
        <c:scaling>
          <c:orientation val="minMax"/>
        </c:scaling>
        <c:delete val="0"/>
        <c:axPos val="r"/>
        <c:numFmt formatCode="_(* #,##0_);_(* \(#,##0\);_(* &quot;-&quot;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9941648"/>
        <c:crosses val="max"/>
        <c:crossBetween val="between"/>
      </c:valAx>
      <c:catAx>
        <c:axId val="1499416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5013056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2400"/>
              <a:t>Technical</a:t>
            </a:r>
            <a:r>
              <a:rPr lang="en-US" altLang="ko-KR" sz="2400" baseline="0"/>
              <a:t> Support Q'ty &amp; Cost Save(Kwon) </a:t>
            </a:r>
            <a:endParaRPr lang="ko-KR" altLang="en-US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'Monthly Performance'!$D$2:$D$3</c:f>
              <c:strCache>
                <c:ptCount val="2"/>
                <c:pt idx="0">
                  <c:v>Technical Support(Complete)</c:v>
                </c:pt>
                <c:pt idx="1">
                  <c:v>Cost Save(K\)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accent4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'Monthly Performance'!$A$4:$A$9</c:f>
              <c:strCache>
                <c:ptCount val="6"/>
                <c:pt idx="0">
                  <c:v>강영구</c:v>
                </c:pt>
                <c:pt idx="1">
                  <c:v>장은철</c:v>
                </c:pt>
                <c:pt idx="2">
                  <c:v>허준영</c:v>
                </c:pt>
                <c:pt idx="3">
                  <c:v>박병대</c:v>
                </c:pt>
                <c:pt idx="4">
                  <c:v>최준영</c:v>
                </c:pt>
                <c:pt idx="5">
                  <c:v>정기수</c:v>
                </c:pt>
              </c:strCache>
            </c:strRef>
          </c:cat>
          <c:val>
            <c:numRef>
              <c:f>'Monthly Performance'!$D$4:$D$9</c:f>
              <c:numCache>
                <c:formatCode>_(* #,##0_);_(* \(#,##0\);_(* "-"_);_(@_)</c:formatCode>
                <c:ptCount val="6"/>
                <c:pt idx="0">
                  <c:v>13992</c:v>
                </c:pt>
                <c:pt idx="1">
                  <c:v>87355</c:v>
                </c:pt>
                <c:pt idx="2">
                  <c:v>28188</c:v>
                </c:pt>
                <c:pt idx="3">
                  <c:v>0</c:v>
                </c:pt>
                <c:pt idx="4">
                  <c:v>21907</c:v>
                </c:pt>
                <c:pt idx="5">
                  <c:v>26625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F9-4CAF-A27A-457CBF3337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516051376"/>
        <c:axId val="516047064"/>
      </c:barChart>
      <c:lineChart>
        <c:grouping val="standard"/>
        <c:varyColors val="0"/>
        <c:ser>
          <c:idx val="0"/>
          <c:order val="0"/>
          <c:tx>
            <c:strRef>
              <c:f>'Monthly Performance'!$B$2:$B$3</c:f>
              <c:strCache>
                <c:ptCount val="2"/>
                <c:pt idx="0">
                  <c:v>Technical Support(Complete)</c:v>
                </c:pt>
                <c:pt idx="1">
                  <c:v>건수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accen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'Monthly Performance'!$A$4:$A$9</c:f>
              <c:strCache>
                <c:ptCount val="6"/>
                <c:pt idx="0">
                  <c:v>강영구</c:v>
                </c:pt>
                <c:pt idx="1">
                  <c:v>장은철</c:v>
                </c:pt>
                <c:pt idx="2">
                  <c:v>허준영</c:v>
                </c:pt>
                <c:pt idx="3">
                  <c:v>박병대</c:v>
                </c:pt>
                <c:pt idx="4">
                  <c:v>최준영</c:v>
                </c:pt>
                <c:pt idx="5">
                  <c:v>정기수</c:v>
                </c:pt>
              </c:strCache>
            </c:strRef>
          </c:cat>
          <c:val>
            <c:numRef>
              <c:f>'Monthly Performance'!$B$4:$B$9</c:f>
              <c:numCache>
                <c:formatCode>_(* #,##0_);_(* \(#,##0\);_(* "-"_);_(@_)</c:formatCode>
                <c:ptCount val="6"/>
                <c:pt idx="0">
                  <c:v>26</c:v>
                </c:pt>
                <c:pt idx="1">
                  <c:v>43</c:v>
                </c:pt>
                <c:pt idx="2">
                  <c:v>27</c:v>
                </c:pt>
                <c:pt idx="3">
                  <c:v>0</c:v>
                </c:pt>
                <c:pt idx="4">
                  <c:v>19</c:v>
                </c:pt>
                <c:pt idx="5">
                  <c:v>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BF9-4CAF-A27A-457CBF3337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50592"/>
        <c:axId val="516050984"/>
      </c:lineChart>
      <c:catAx>
        <c:axId val="516050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16050984"/>
        <c:crosses val="autoZero"/>
        <c:auto val="1"/>
        <c:lblAlgn val="ctr"/>
        <c:lblOffset val="100"/>
        <c:noMultiLvlLbl val="0"/>
      </c:catAx>
      <c:valAx>
        <c:axId val="516050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16050592"/>
        <c:crosses val="autoZero"/>
        <c:crossBetween val="between"/>
      </c:valAx>
      <c:valAx>
        <c:axId val="516047064"/>
        <c:scaling>
          <c:orientation val="minMax"/>
        </c:scaling>
        <c:delete val="0"/>
        <c:axPos val="r"/>
        <c:numFmt formatCode="_(* #,##0_);_(* \(#,##0\);_(* &quot;-&quot;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16051376"/>
        <c:crosses val="max"/>
        <c:crossBetween val="between"/>
      </c:valAx>
      <c:catAx>
        <c:axId val="5160513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1604706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2000"/>
              <a:t>Technical Support Q'ty Rate</a:t>
            </a:r>
            <a:endParaRPr lang="ko-KR" altLang="en-US" sz="20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'Monthly Performance'!$B$2:$B$3</c:f>
              <c:strCache>
                <c:ptCount val="2"/>
                <c:pt idx="0">
                  <c:v>Technical Support(Complete)</c:v>
                </c:pt>
                <c:pt idx="1">
                  <c:v>건수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A50-4A4D-9B22-3EF47DFE253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A50-4A4D-9B22-3EF47DFE253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BA50-4A4D-9B22-3EF47DFE253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BA50-4A4D-9B22-3EF47DFE253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BA50-4A4D-9B22-3EF47DFE2533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0939-474D-85E5-93369C54398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'Monthly Performance'!$A$4:$A$9</c:f>
              <c:strCache>
                <c:ptCount val="6"/>
                <c:pt idx="0">
                  <c:v>강영구</c:v>
                </c:pt>
                <c:pt idx="1">
                  <c:v>장은철</c:v>
                </c:pt>
                <c:pt idx="2">
                  <c:v>허준영</c:v>
                </c:pt>
                <c:pt idx="3">
                  <c:v>박병대</c:v>
                </c:pt>
                <c:pt idx="4">
                  <c:v>최준영</c:v>
                </c:pt>
                <c:pt idx="5">
                  <c:v>정기수</c:v>
                </c:pt>
              </c:strCache>
            </c:strRef>
          </c:cat>
          <c:val>
            <c:numRef>
              <c:f>'Monthly Performance'!$B$4:$B$9</c:f>
              <c:numCache>
                <c:formatCode>_(* #,##0_);_(* \(#,##0\);_(* "-"_);_(@_)</c:formatCode>
                <c:ptCount val="6"/>
                <c:pt idx="0">
                  <c:v>26</c:v>
                </c:pt>
                <c:pt idx="1">
                  <c:v>43</c:v>
                </c:pt>
                <c:pt idx="2">
                  <c:v>27</c:v>
                </c:pt>
                <c:pt idx="3">
                  <c:v>0</c:v>
                </c:pt>
                <c:pt idx="4">
                  <c:v>19</c:v>
                </c:pt>
                <c:pt idx="5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BA50-4A4D-9B22-3EF47DFE25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legendEntry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legendEntry>
      <c:legendEntry>
        <c:idx val="2"/>
        <c:txPr>
          <a:bodyPr rot="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legendEntry>
      <c:legendEntry>
        <c:idx val="3"/>
        <c:txPr>
          <a:bodyPr rot="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legendEntry>
      <c:legendEntry>
        <c:idx val="4"/>
        <c:txPr>
          <a:bodyPr rot="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legendEntry>
      <c:layout>
        <c:manualLayout>
          <c:xMode val="edge"/>
          <c:yMode val="edge"/>
          <c:x val="0.86347157831388766"/>
          <c:y val="0.16120875066949303"/>
          <c:w val="0.10275278411554688"/>
          <c:h val="0.7312847223792537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2400" baseline="0"/>
              <a:t>2020 e-board Repair Q'ty CosSave(Kwon)    </a:t>
            </a:r>
            <a:endParaRPr lang="ko-KR" altLang="en-US" sz="2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'Yearly Performance'!$D$2:$D$3</c:f>
              <c:strCache>
                <c:ptCount val="2"/>
                <c:pt idx="0">
                  <c:v>Technical Support</c:v>
                </c:pt>
                <c:pt idx="1">
                  <c:v>Cost Save(K\)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accent4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'Yearly Performance'!$A$4:$A$9</c:f>
              <c:strCache>
                <c:ptCount val="6"/>
                <c:pt idx="0">
                  <c:v>강영구</c:v>
                </c:pt>
                <c:pt idx="1">
                  <c:v>장은철</c:v>
                </c:pt>
                <c:pt idx="2">
                  <c:v>허준영</c:v>
                </c:pt>
                <c:pt idx="3">
                  <c:v>박병대</c:v>
                </c:pt>
                <c:pt idx="4">
                  <c:v>최준영</c:v>
                </c:pt>
                <c:pt idx="5">
                  <c:v>정기수</c:v>
                </c:pt>
              </c:strCache>
            </c:strRef>
          </c:cat>
          <c:val>
            <c:numRef>
              <c:f>'Yearly Performance'!$D$4:$D$9</c:f>
              <c:numCache>
                <c:formatCode>_(* #,##0_);_(* \(#,##0\);_(* "-"_);_(@_)</c:formatCode>
                <c:ptCount val="6"/>
                <c:pt idx="0">
                  <c:v>245546</c:v>
                </c:pt>
                <c:pt idx="1">
                  <c:v>745695.7</c:v>
                </c:pt>
                <c:pt idx="2">
                  <c:v>417739</c:v>
                </c:pt>
                <c:pt idx="3">
                  <c:v>141583</c:v>
                </c:pt>
                <c:pt idx="4">
                  <c:v>341015</c:v>
                </c:pt>
                <c:pt idx="5">
                  <c:v>234502.71999999997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4F-4074-850B-E349EE8333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516052160"/>
        <c:axId val="516049416"/>
      </c:barChart>
      <c:lineChart>
        <c:grouping val="standard"/>
        <c:varyColors val="0"/>
        <c:ser>
          <c:idx val="0"/>
          <c:order val="0"/>
          <c:tx>
            <c:strRef>
              <c:f>'Yearly Performance'!$B$2:$B$3</c:f>
              <c:strCache>
                <c:ptCount val="2"/>
                <c:pt idx="0">
                  <c:v>Technical Support</c:v>
                </c:pt>
                <c:pt idx="1">
                  <c:v>건수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accen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'Yearly Performance'!$A$4:$A$9</c:f>
              <c:strCache>
                <c:ptCount val="6"/>
                <c:pt idx="0">
                  <c:v>강영구</c:v>
                </c:pt>
                <c:pt idx="1">
                  <c:v>장은철</c:v>
                </c:pt>
                <c:pt idx="2">
                  <c:v>허준영</c:v>
                </c:pt>
                <c:pt idx="3">
                  <c:v>박병대</c:v>
                </c:pt>
                <c:pt idx="4">
                  <c:v>최준영</c:v>
                </c:pt>
                <c:pt idx="5">
                  <c:v>정기수</c:v>
                </c:pt>
              </c:strCache>
            </c:strRef>
          </c:cat>
          <c:val>
            <c:numRef>
              <c:f>'Yearly Performance'!$B$4:$B$9</c:f>
              <c:numCache>
                <c:formatCode>_(* #,##0_);_(* \(#,##0\);_(* "-"_);_(@_)</c:formatCode>
                <c:ptCount val="6"/>
                <c:pt idx="0">
                  <c:v>269</c:v>
                </c:pt>
                <c:pt idx="1">
                  <c:v>475</c:v>
                </c:pt>
                <c:pt idx="2">
                  <c:v>319</c:v>
                </c:pt>
                <c:pt idx="3">
                  <c:v>190</c:v>
                </c:pt>
                <c:pt idx="4">
                  <c:v>267</c:v>
                </c:pt>
                <c:pt idx="5">
                  <c:v>390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54F-4074-850B-E349EE8333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48240"/>
        <c:axId val="516051768"/>
      </c:lineChart>
      <c:catAx>
        <c:axId val="516048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16051768"/>
        <c:crosses val="autoZero"/>
        <c:auto val="1"/>
        <c:lblAlgn val="ctr"/>
        <c:lblOffset val="100"/>
        <c:noMultiLvlLbl val="0"/>
      </c:catAx>
      <c:valAx>
        <c:axId val="516051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16048240"/>
        <c:crosses val="autoZero"/>
        <c:crossBetween val="between"/>
      </c:valAx>
      <c:valAx>
        <c:axId val="516049416"/>
        <c:scaling>
          <c:orientation val="minMax"/>
        </c:scaling>
        <c:delete val="0"/>
        <c:axPos val="r"/>
        <c:numFmt formatCode="_(* #,##0_);_(* \(#,##0\);_(* &quot;-&quot;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16052160"/>
        <c:crosses val="max"/>
        <c:crossBetween val="between"/>
      </c:valAx>
      <c:catAx>
        <c:axId val="5160521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1604941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2000"/>
              <a:t>Technical Support Q'ty Rate</a:t>
            </a:r>
            <a:endParaRPr lang="ko-KR" altLang="en-US" sz="20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'Yearly Performance'!$B$2:$B$3</c:f>
              <c:strCache>
                <c:ptCount val="2"/>
                <c:pt idx="0">
                  <c:v>Technical Support</c:v>
                </c:pt>
                <c:pt idx="1">
                  <c:v>건수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B29-4A74-8E3A-18CDB54DCA1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B29-4A74-8E3A-18CDB54DCA1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B29-4A74-8E3A-18CDB54DCA1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AB29-4A74-8E3A-18CDB54DCA1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AB29-4A74-8E3A-18CDB54DCA1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5CFC-4A0B-9735-723B076B00E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'Yearly Performance'!$A$4:$A$9</c:f>
              <c:strCache>
                <c:ptCount val="6"/>
                <c:pt idx="0">
                  <c:v>강영구</c:v>
                </c:pt>
                <c:pt idx="1">
                  <c:v>장은철</c:v>
                </c:pt>
                <c:pt idx="2">
                  <c:v>허준영</c:v>
                </c:pt>
                <c:pt idx="3">
                  <c:v>박병대</c:v>
                </c:pt>
                <c:pt idx="4">
                  <c:v>최준영</c:v>
                </c:pt>
                <c:pt idx="5">
                  <c:v>정기수</c:v>
                </c:pt>
              </c:strCache>
            </c:strRef>
          </c:cat>
          <c:val>
            <c:numRef>
              <c:f>'Yearly Performance'!$B$4:$B$9</c:f>
              <c:numCache>
                <c:formatCode>_(* #,##0_);_(* \(#,##0\);_(* "-"_);_(@_)</c:formatCode>
                <c:ptCount val="6"/>
                <c:pt idx="0">
                  <c:v>269</c:v>
                </c:pt>
                <c:pt idx="1">
                  <c:v>475</c:v>
                </c:pt>
                <c:pt idx="2">
                  <c:v>319</c:v>
                </c:pt>
                <c:pt idx="3">
                  <c:v>190</c:v>
                </c:pt>
                <c:pt idx="4">
                  <c:v>267</c:v>
                </c:pt>
                <c:pt idx="5">
                  <c:v>390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B29-4A74-8E3A-18CDB54DCA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legendEntry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legendEntry>
      <c:legendEntry>
        <c:idx val="2"/>
        <c:txPr>
          <a:bodyPr rot="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legendEntry>
      <c:legendEntry>
        <c:idx val="3"/>
        <c:txPr>
          <a:bodyPr rot="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legendEntry>
      <c:legendEntry>
        <c:idx val="4"/>
        <c:txPr>
          <a:bodyPr rot="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legendEntry>
      <c:layout>
        <c:manualLayout>
          <c:xMode val="edge"/>
          <c:yMode val="edge"/>
          <c:x val="0.86347157831388766"/>
          <c:y val="0.16120875066949303"/>
          <c:w val="0.10275278411554688"/>
          <c:h val="0.7312847223792537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/>
                </a:solidFill>
                <a:latin typeface="+mj-ea"/>
                <a:ea typeface="+mj-ea"/>
                <a:cs typeface="+mn-cs"/>
              </a:defRPr>
            </a:pPr>
            <a:r>
              <a:rPr lang="en-US" altLang="ko-KR">
                <a:latin typeface="+mj-ea"/>
                <a:ea typeface="+mj-ea"/>
              </a:rPr>
              <a:t>K4 </a:t>
            </a:r>
            <a:r>
              <a:rPr lang="ko-KR" altLang="en-US">
                <a:latin typeface="+mj-ea"/>
                <a:ea typeface="+mj-ea"/>
              </a:rPr>
              <a:t>전자실 자체</a:t>
            </a:r>
            <a:r>
              <a:rPr lang="en-US" altLang="ko-KR">
                <a:latin typeface="+mj-ea"/>
                <a:ea typeface="+mj-ea"/>
              </a:rPr>
              <a:t>/</a:t>
            </a:r>
            <a:r>
              <a:rPr lang="ko-KR" altLang="en-US">
                <a:latin typeface="+mj-ea"/>
                <a:ea typeface="+mj-ea"/>
              </a:rPr>
              <a:t>외주 수리 건수 및 비율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/>
              </a:solidFill>
              <a:latin typeface="+mj-ea"/>
              <a:ea typeface="+mj-ea"/>
              <a:cs typeface="+mn-cs"/>
            </a:defRPr>
          </a:pPr>
          <a:endParaRPr lang="ko-KR"/>
        </a:p>
      </c:txPr>
    </c:title>
    <c:autoTitleDeleted val="0"/>
    <c:plotArea>
      <c:layout>
        <c:manualLayout>
          <c:layoutTarget val="inner"/>
          <c:xMode val="edge"/>
          <c:yMode val="edge"/>
          <c:x val="3.1878123987568674E-2"/>
          <c:y val="0.18747728824239879"/>
          <c:w val="0.79662110431879907"/>
          <c:h val="0.7456592973796145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자체.외주수리비율!$A$3</c:f>
              <c:strCache>
                <c:ptCount val="1"/>
                <c:pt idx="0">
                  <c:v>자체수리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자체.외주수리비율!$B$2:$M$2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자체.외주수리비율!$B$3:$M$3</c:f>
              <c:numCache>
                <c:formatCode>General</c:formatCode>
                <c:ptCount val="12"/>
                <c:pt idx="0">
                  <c:v>160</c:v>
                </c:pt>
                <c:pt idx="1">
                  <c:v>140</c:v>
                </c:pt>
                <c:pt idx="2">
                  <c:v>157</c:v>
                </c:pt>
                <c:pt idx="3">
                  <c:v>161</c:v>
                </c:pt>
                <c:pt idx="4">
                  <c:v>155</c:v>
                </c:pt>
                <c:pt idx="5">
                  <c:v>160</c:v>
                </c:pt>
                <c:pt idx="6">
                  <c:v>207</c:v>
                </c:pt>
                <c:pt idx="7">
                  <c:v>131</c:v>
                </c:pt>
                <c:pt idx="8">
                  <c:v>121</c:v>
                </c:pt>
                <c:pt idx="9">
                  <c:v>146</c:v>
                </c:pt>
                <c:pt idx="10">
                  <c:v>145</c:v>
                </c:pt>
                <c:pt idx="11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37-495C-A27B-F49FEFB48021}"/>
            </c:ext>
          </c:extLst>
        </c:ser>
        <c:ser>
          <c:idx val="1"/>
          <c:order val="1"/>
          <c:tx>
            <c:strRef>
              <c:f>자체.외주수리비율!$A$4</c:f>
              <c:strCache>
                <c:ptCount val="1"/>
                <c:pt idx="0">
                  <c:v>외주수리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자체.외주수리비율!$B$2:$M$2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자체.외주수리비율!$B$4:$M$4</c:f>
              <c:numCache>
                <c:formatCode>General</c:formatCode>
                <c:ptCount val="12"/>
                <c:pt idx="0">
                  <c:v>7</c:v>
                </c:pt>
                <c:pt idx="1">
                  <c:v>25</c:v>
                </c:pt>
                <c:pt idx="2">
                  <c:v>6</c:v>
                </c:pt>
                <c:pt idx="3">
                  <c:v>6</c:v>
                </c:pt>
                <c:pt idx="4">
                  <c:v>4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</c:v>
                </c:pt>
                <c:pt idx="9">
                  <c:v>3</c:v>
                </c:pt>
                <c:pt idx="10">
                  <c:v>2</c:v>
                </c:pt>
                <c:pt idx="11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37-495C-A27B-F49FEFB480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516052552"/>
        <c:axId val="516049024"/>
      </c:barChart>
      <c:lineChart>
        <c:grouping val="stacked"/>
        <c:varyColors val="0"/>
        <c:ser>
          <c:idx val="2"/>
          <c:order val="2"/>
          <c:tx>
            <c:strRef>
              <c:f>자체.외주수리비율!$A$6</c:f>
              <c:strCache>
                <c:ptCount val="1"/>
                <c:pt idx="0">
                  <c:v>외주수리율(%)</c:v>
                </c:pt>
              </c:strCache>
            </c:strRef>
          </c:tx>
          <c:spPr>
            <a:ln w="19050" cap="rnd" cmpd="sng" algn="ctr">
              <a:solidFill>
                <a:schemeClr val="accent3"/>
              </a:solidFill>
              <a:prstDash val="solid"/>
              <a:round/>
            </a:ln>
            <a:effectLst/>
          </c:spPr>
          <c:marker>
            <c:symbol val="square"/>
            <c:size val="9"/>
            <c:spPr>
              <a:solidFill>
                <a:schemeClr val="accent3"/>
              </a:solidFill>
              <a:ln w="6350" cap="flat" cmpd="sng" algn="ctr">
                <a:solidFill>
                  <a:schemeClr val="accent3"/>
                </a:solidFill>
                <a:prstDash val="solid"/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자체.외주수리비율!$B$2:$M$2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자체.외주수리비율!$B$6:$M$6</c:f>
              <c:numCache>
                <c:formatCode>0.0%</c:formatCode>
                <c:ptCount val="12"/>
                <c:pt idx="0">
                  <c:v>4.1916167664670656E-2</c:v>
                </c:pt>
                <c:pt idx="1">
                  <c:v>0.15151515151515152</c:v>
                </c:pt>
                <c:pt idx="2">
                  <c:v>3.6809815950920248E-2</c:v>
                </c:pt>
                <c:pt idx="3">
                  <c:v>3.5928143712574849E-2</c:v>
                </c:pt>
                <c:pt idx="4">
                  <c:v>2.5157232704402517E-2</c:v>
                </c:pt>
                <c:pt idx="5">
                  <c:v>4.1916167664670656E-2</c:v>
                </c:pt>
                <c:pt idx="6">
                  <c:v>3.7209302325581395E-2</c:v>
                </c:pt>
                <c:pt idx="7">
                  <c:v>6.4285714285714279E-2</c:v>
                </c:pt>
                <c:pt idx="8">
                  <c:v>8.1967213114754103E-3</c:v>
                </c:pt>
                <c:pt idx="9">
                  <c:v>2.0134228187919462E-2</c:v>
                </c:pt>
                <c:pt idx="10">
                  <c:v>1.3605442176870748E-2</c:v>
                </c:pt>
                <c:pt idx="11">
                  <c:v>0.10067114093959731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937-495C-A27B-F49FEFB480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52944"/>
        <c:axId val="516053336"/>
      </c:lineChart>
      <c:catAx>
        <c:axId val="5160525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16049024"/>
        <c:crosses val="autoZero"/>
        <c:auto val="1"/>
        <c:lblAlgn val="ctr"/>
        <c:lblOffset val="100"/>
        <c:noMultiLvlLbl val="0"/>
      </c:catAx>
      <c:valAx>
        <c:axId val="516049024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tint val="7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16052552"/>
        <c:crosses val="autoZero"/>
        <c:crossBetween val="between"/>
      </c:valAx>
      <c:valAx>
        <c:axId val="516053336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16052944"/>
        <c:crosses val="max"/>
        <c:crossBetween val="between"/>
      </c:valAx>
      <c:catAx>
        <c:axId val="5160529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16053336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6350" cap="flat" cmpd="sng" algn="ctr">
      <a:solidFill>
        <a:schemeClr val="tx1">
          <a:tint val="75000"/>
        </a:schemeClr>
      </a:solidFill>
      <a:prstDash val="solid"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 sz="1800" b="1"/>
              <a:t>외주수리업체별</a:t>
            </a:r>
            <a:r>
              <a:rPr lang="ko-KR" altLang="en-US" sz="1800" b="1" baseline="0"/>
              <a:t> </a:t>
            </a:r>
            <a:r>
              <a:rPr lang="en-US" altLang="ko-KR" sz="1800" b="1" baseline="0"/>
              <a:t>Ratio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473B-4397-8A77-91F4A23B789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473B-4397-8A77-91F4A23B789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473B-4397-8A77-91F4A23B789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473B-4397-8A77-91F4A23B789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473B-4397-8A77-91F4A23B789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473B-4397-8A77-91F4A23B789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bestFit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자체.외주수리비율!$A$30:$A$35</c:f>
              <c:strCache>
                <c:ptCount val="6"/>
                <c:pt idx="0">
                  <c:v>디에이테크</c:v>
                </c:pt>
                <c:pt idx="1">
                  <c:v>큐텍코리아</c:v>
                </c:pt>
                <c:pt idx="2">
                  <c:v>이엔아이</c:v>
                </c:pt>
                <c:pt idx="3">
                  <c:v>씨맥스</c:v>
                </c:pt>
                <c:pt idx="4">
                  <c:v>인베닉스</c:v>
                </c:pt>
                <c:pt idx="5">
                  <c:v>기타</c:v>
                </c:pt>
              </c:strCache>
            </c:strRef>
          </c:cat>
          <c:val>
            <c:numRef>
              <c:f>자체.외주수리비율!$O$30:$O$35</c:f>
              <c:numCache>
                <c:formatCode>0%</c:formatCode>
                <c:ptCount val="6"/>
                <c:pt idx="0">
                  <c:v>6.4516129032258063E-2</c:v>
                </c:pt>
                <c:pt idx="1">
                  <c:v>0.54838709677419351</c:v>
                </c:pt>
                <c:pt idx="2">
                  <c:v>0</c:v>
                </c:pt>
                <c:pt idx="3">
                  <c:v>0.13978494623655913</c:v>
                </c:pt>
                <c:pt idx="4">
                  <c:v>0</c:v>
                </c:pt>
                <c:pt idx="5">
                  <c:v>0.24731182795698925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73B-4397-8A77-91F4A23B78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016283363659874"/>
          <c:y val="0.19228195510097973"/>
          <c:w val="0.11890469023311903"/>
          <c:h val="0.6192517094805499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2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2000" i="1"/>
            </a:pPr>
            <a:r>
              <a:rPr lang="en-US" sz="2200" i="1"/>
              <a:t>Repair Count &amp; Cost Reduction Status</a:t>
            </a:r>
            <a:endParaRPr lang="ko-KR" sz="2200" i="1"/>
          </a:p>
        </c:rich>
      </c:tx>
      <c:layout>
        <c:manualLayout>
          <c:xMode val="edge"/>
          <c:yMode val="edge"/>
          <c:x val="0.1247359028309224"/>
          <c:y val="4.0872596164789325E-2"/>
        </c:manualLayout>
      </c:layout>
      <c:overlay val="0"/>
      <c:spPr>
        <a:solidFill>
          <a:schemeClr val="accent6">
            <a:lumMod val="20000"/>
            <a:lumOff val="80000"/>
          </a:schemeClr>
        </a:solidFill>
      </c:spPr>
    </c:title>
    <c:autoTitleDeleted val="0"/>
    <c:plotArea>
      <c:layout>
        <c:manualLayout>
          <c:layoutTarget val="inner"/>
          <c:xMode val="edge"/>
          <c:yMode val="edge"/>
          <c:x val="0.10983539690807974"/>
          <c:y val="0.20958373017838916"/>
          <c:w val="0.72024167286421592"/>
          <c:h val="0.6997214566929134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Ionizer!$C$4</c:f>
              <c:strCache>
                <c:ptCount val="1"/>
                <c:pt idx="0">
                  <c:v>Repair
Count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>
                    <a:solidFill>
                      <a:schemeClr val="bg1"/>
                    </a:solidFill>
                  </a:defRPr>
                </a:pPr>
                <a:endParaRPr lang="ko-K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Ionizer!$B$6:$B$17</c:f>
              <c:strCache>
                <c:ptCount val="12"/>
                <c:pt idx="0">
                  <c:v>Jan.</c:v>
                </c:pt>
                <c:pt idx="1">
                  <c:v>Feb.</c:v>
                </c:pt>
                <c:pt idx="2">
                  <c:v>Mar.</c:v>
                </c:pt>
                <c:pt idx="3">
                  <c:v>Apr.</c:v>
                </c:pt>
                <c:pt idx="4">
                  <c:v>May</c:v>
                </c:pt>
                <c:pt idx="5">
                  <c:v>Jun.</c:v>
                </c:pt>
                <c:pt idx="6">
                  <c:v>Jul</c:v>
                </c:pt>
                <c:pt idx="7">
                  <c:v>Aug.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Dec.</c:v>
                </c:pt>
              </c:strCache>
            </c:strRef>
          </c:cat>
          <c:val>
            <c:numRef>
              <c:f>Ionizer!$C$6:$C$17</c:f>
              <c:numCache>
                <c:formatCode>#,##0_ </c:formatCode>
                <c:ptCount val="12"/>
                <c:pt idx="0">
                  <c:v>8</c:v>
                </c:pt>
                <c:pt idx="1">
                  <c:v>6</c:v>
                </c:pt>
                <c:pt idx="2">
                  <c:v>12</c:v>
                </c:pt>
                <c:pt idx="3">
                  <c:v>3</c:v>
                </c:pt>
                <c:pt idx="4">
                  <c:v>20</c:v>
                </c:pt>
                <c:pt idx="5">
                  <c:v>11</c:v>
                </c:pt>
                <c:pt idx="6">
                  <c:v>28</c:v>
                </c:pt>
                <c:pt idx="7">
                  <c:v>13</c:v>
                </c:pt>
                <c:pt idx="8">
                  <c:v>8</c:v>
                </c:pt>
                <c:pt idx="9">
                  <c:v>12</c:v>
                </c:pt>
                <c:pt idx="10">
                  <c:v>9</c:v>
                </c:pt>
                <c:pt idx="1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53-4D3F-A4DD-11630D8F68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9"/>
        <c:axId val="360712960"/>
        <c:axId val="360712568"/>
      </c:barChart>
      <c:lineChart>
        <c:grouping val="standard"/>
        <c:varyColors val="0"/>
        <c:ser>
          <c:idx val="1"/>
          <c:order val="1"/>
          <c:tx>
            <c:strRef>
              <c:f>Ionizer!$D$4:$D$5</c:f>
              <c:strCache>
                <c:ptCount val="2"/>
                <c:pt idx="0">
                  <c:v>Cost Save
(Unit : KWon)</c:v>
                </c:pt>
              </c:strCache>
            </c:strRef>
          </c:tx>
          <c:dLbls>
            <c:dLbl>
              <c:idx val="0"/>
              <c:layout>
                <c:manualLayout>
                  <c:x val="-4.3739653321790993E-2"/>
                  <c:y val="-0.1629271653543307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A53-4D3F-A4DD-11630D8F6802}"/>
                </c:ext>
              </c:extLst>
            </c:dLbl>
            <c:dLbl>
              <c:idx val="1"/>
              <c:layout>
                <c:manualLayout>
                  <c:x val="-4.3739653321790993E-2"/>
                  <c:y val="-0.1004271653543307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A53-4D3F-A4DD-11630D8F6802}"/>
                </c:ext>
              </c:extLst>
            </c:dLbl>
            <c:dLbl>
              <c:idx val="3"/>
              <c:layout>
                <c:manualLayout>
                  <c:x val="-4.3739653321790993E-2"/>
                  <c:y val="-0.11709383202099745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A53-4D3F-A4DD-11630D8F6802}"/>
                </c:ext>
              </c:extLst>
            </c:dLbl>
            <c:dLbl>
              <c:idx val="4"/>
              <c:layout>
                <c:manualLayout>
                  <c:x val="-4.3739653321790993E-2"/>
                  <c:y val="-9.62604986876641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A53-4D3F-A4DD-11630D8F6802}"/>
                </c:ext>
              </c:extLst>
            </c:dLbl>
            <c:dLbl>
              <c:idx val="7"/>
              <c:layout>
                <c:manualLayout>
                  <c:x val="-4.3739653321790993E-2"/>
                  <c:y val="-0.1504271653543306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A53-4D3F-A4DD-11630D8F68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1"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Ionizer!$B$6:$B$17</c:f>
              <c:strCache>
                <c:ptCount val="12"/>
                <c:pt idx="0">
                  <c:v>Jan.</c:v>
                </c:pt>
                <c:pt idx="1">
                  <c:v>Feb.</c:v>
                </c:pt>
                <c:pt idx="2">
                  <c:v>Mar.</c:v>
                </c:pt>
                <c:pt idx="3">
                  <c:v>Apr.</c:v>
                </c:pt>
                <c:pt idx="4">
                  <c:v>May</c:v>
                </c:pt>
                <c:pt idx="5">
                  <c:v>Jun.</c:v>
                </c:pt>
                <c:pt idx="6">
                  <c:v>Jul</c:v>
                </c:pt>
                <c:pt idx="7">
                  <c:v>Aug.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Dec.</c:v>
                </c:pt>
              </c:strCache>
            </c:strRef>
          </c:cat>
          <c:val>
            <c:numRef>
              <c:f>Ionizer!$D$6:$D$17</c:f>
              <c:numCache>
                <c:formatCode>#,##0_ </c:formatCode>
                <c:ptCount val="12"/>
                <c:pt idx="0">
                  <c:v>4166</c:v>
                </c:pt>
                <c:pt idx="1">
                  <c:v>2122</c:v>
                </c:pt>
                <c:pt idx="2">
                  <c:v>5460</c:v>
                </c:pt>
                <c:pt idx="3">
                  <c:v>1350</c:v>
                </c:pt>
                <c:pt idx="4">
                  <c:v>9929</c:v>
                </c:pt>
                <c:pt idx="5">
                  <c:v>5420</c:v>
                </c:pt>
                <c:pt idx="6">
                  <c:v>10911.5</c:v>
                </c:pt>
                <c:pt idx="7">
                  <c:v>5337.5</c:v>
                </c:pt>
                <c:pt idx="8">
                  <c:v>4376</c:v>
                </c:pt>
                <c:pt idx="9">
                  <c:v>5105</c:v>
                </c:pt>
                <c:pt idx="10">
                  <c:v>4865</c:v>
                </c:pt>
                <c:pt idx="11">
                  <c:v>2995.5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A53-4D3F-A4DD-11630D8F68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050200"/>
        <c:axId val="360718448"/>
      </c:lineChart>
      <c:catAx>
        <c:axId val="5160502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080" b="1" baseline="0"/>
            </a:pPr>
            <a:endParaRPr lang="ko-KR"/>
          </a:p>
        </c:txPr>
        <c:crossAx val="360718448"/>
        <c:crosses val="autoZero"/>
        <c:auto val="1"/>
        <c:lblAlgn val="ctr"/>
        <c:lblOffset val="100"/>
        <c:noMultiLvlLbl val="0"/>
      </c:catAx>
      <c:valAx>
        <c:axId val="360718448"/>
        <c:scaling>
          <c:orientation val="minMax"/>
        </c:scaling>
        <c:delete val="0"/>
        <c:axPos val="l"/>
        <c:numFmt formatCode="#,##0_ " sourceLinked="1"/>
        <c:majorTickMark val="none"/>
        <c:minorTickMark val="none"/>
        <c:tickLblPos val="nextTo"/>
        <c:txPr>
          <a:bodyPr/>
          <a:lstStyle/>
          <a:p>
            <a:pPr>
              <a:defRPr sz="1000" b="1" baseline="0">
                <a:solidFill>
                  <a:schemeClr val="accent6">
                    <a:lumMod val="50000"/>
                  </a:schemeClr>
                </a:solidFill>
              </a:defRPr>
            </a:pPr>
            <a:endParaRPr lang="ko-KR"/>
          </a:p>
        </c:txPr>
        <c:crossAx val="516050200"/>
        <c:crosses val="autoZero"/>
        <c:crossBetween val="between"/>
        <c:majorUnit val="100000"/>
      </c:valAx>
      <c:valAx>
        <c:axId val="360712568"/>
        <c:scaling>
          <c:orientation val="minMax"/>
        </c:scaling>
        <c:delete val="0"/>
        <c:axPos val="r"/>
        <c:numFmt formatCode="#,##0_ " sourceLinked="1"/>
        <c:majorTickMark val="out"/>
        <c:minorTickMark val="none"/>
        <c:tickLblPos val="nextTo"/>
        <c:crossAx val="360712960"/>
        <c:crosses val="max"/>
        <c:crossBetween val="between"/>
      </c:valAx>
      <c:catAx>
        <c:axId val="3607129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60712568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85593754572940051"/>
          <c:y val="0.45897014435695538"/>
          <c:w val="0.13287824461334263"/>
          <c:h val="0.2111220472440945"/>
        </c:manualLayout>
      </c:layout>
      <c:overlay val="0"/>
      <c:txPr>
        <a:bodyPr/>
        <a:lstStyle/>
        <a:p>
          <a:pPr>
            <a:defRPr sz="800" b="1" baseline="0"/>
          </a:pPr>
          <a:endParaRPr lang="ko-K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56029</xdr:colOff>
      <xdr:row>21</xdr:row>
      <xdr:rowOff>40340</xdr:rowOff>
    </xdr:from>
    <xdr:to>
      <xdr:col>18</xdr:col>
      <xdr:colOff>35298</xdr:colOff>
      <xdr:row>43</xdr:row>
      <xdr:rowOff>123264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916CABBE-757B-44CF-85B2-50AB32E9E1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268941</xdr:colOff>
      <xdr:row>44</xdr:row>
      <xdr:rowOff>17929</xdr:rowOff>
    </xdr:from>
    <xdr:to>
      <xdr:col>8</xdr:col>
      <xdr:colOff>347382</xdr:colOff>
      <xdr:row>65</xdr:row>
      <xdr:rowOff>156882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5DF41EC0-6A51-4198-8875-2B7ACED94D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437029</xdr:colOff>
      <xdr:row>44</xdr:row>
      <xdr:rowOff>22411</xdr:rowOff>
    </xdr:from>
    <xdr:to>
      <xdr:col>17</xdr:col>
      <xdr:colOff>773206</xdr:colOff>
      <xdr:row>65</xdr:row>
      <xdr:rowOff>161364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748312C4-7517-402F-81C4-4C4288478B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</xdr:row>
      <xdr:rowOff>24848</xdr:rowOff>
    </xdr:from>
    <xdr:to>
      <xdr:col>9</xdr:col>
      <xdr:colOff>19050</xdr:colOff>
      <xdr:row>38</xdr:row>
      <xdr:rowOff>1241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B4F9B48C-39F1-4E9F-99D6-C642AD65D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11</xdr:row>
      <xdr:rowOff>53006</xdr:rowOff>
    </xdr:from>
    <xdr:to>
      <xdr:col>9</xdr:col>
      <xdr:colOff>9525</xdr:colOff>
      <xdr:row>25</xdr:row>
      <xdr:rowOff>57979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1D0B4113-83EB-4722-B3AD-698B8E7BBD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9524</xdr:rowOff>
    </xdr:from>
    <xdr:to>
      <xdr:col>8</xdr:col>
      <xdr:colOff>28574</xdr:colOff>
      <xdr:row>24</xdr:row>
      <xdr:rowOff>0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4FA9C5D5-ED88-442D-9072-A7B3C48357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24</xdr:row>
      <xdr:rowOff>1241</xdr:rowOff>
    </xdr:from>
    <xdr:to>
      <xdr:col>8</xdr:col>
      <xdr:colOff>28575</xdr:colOff>
      <xdr:row>37</xdr:row>
      <xdr:rowOff>10767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77F0893C-176C-4AC5-84EF-FC0BB4BE82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9525</xdr:rowOff>
    </xdr:from>
    <xdr:to>
      <xdr:col>8</xdr:col>
      <xdr:colOff>28574</xdr:colOff>
      <xdr:row>24</xdr:row>
      <xdr:rowOff>1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3EC90885-FE88-4C8B-96E0-10248E7E15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24</xdr:row>
      <xdr:rowOff>1241</xdr:rowOff>
    </xdr:from>
    <xdr:to>
      <xdr:col>8</xdr:col>
      <xdr:colOff>28575</xdr:colOff>
      <xdr:row>37</xdr:row>
      <xdr:rowOff>10767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B6C080C9-CF5C-4C14-9980-7D1ADE40A3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7</xdr:row>
      <xdr:rowOff>157162</xdr:rowOff>
    </xdr:from>
    <xdr:to>
      <xdr:col>14</xdr:col>
      <xdr:colOff>600075</xdr:colOff>
      <xdr:row>25</xdr:row>
      <xdr:rowOff>133350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80673582-1028-4295-AA49-4EFA164698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85164</xdr:rowOff>
    </xdr:from>
    <xdr:to>
      <xdr:col>15</xdr:col>
      <xdr:colOff>0</xdr:colOff>
      <xdr:row>55</xdr:row>
      <xdr:rowOff>67234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B3D05A1D-A9C4-4BF6-A1FD-E5BAC6BFD9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100854</xdr:colOff>
      <xdr:row>2</xdr:row>
      <xdr:rowOff>36981</xdr:rowOff>
    </xdr:from>
    <xdr:to>
      <xdr:col>13</xdr:col>
      <xdr:colOff>352426</xdr:colOff>
      <xdr:row>20</xdr:row>
      <xdr:rowOff>76200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CA196BAF-6133-48AA-8701-2CD59FC6B9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D1823"/>
  <sheetViews>
    <sheetView zoomScaleNormal="100" workbookViewId="0">
      <pane ySplit="1" topLeftCell="A2" activePane="bottomLeft" state="frozen"/>
      <selection activeCell="N1" sqref="N1"/>
      <selection pane="bottomLeft" activeCell="M4" sqref="M4"/>
    </sheetView>
  </sheetViews>
  <sheetFormatPr defaultRowHeight="16.5"/>
  <cols>
    <col min="1" max="1" width="8.625" style="181" bestFit="1" customWidth="1"/>
    <col min="2" max="2" width="11.5" style="182" bestFit="1" customWidth="1"/>
    <col min="3" max="3" width="8" bestFit="1" customWidth="1"/>
    <col min="4" max="4" width="12" bestFit="1" customWidth="1"/>
    <col min="5" max="5" width="10" bestFit="1" customWidth="1"/>
    <col min="6" max="6" width="13" bestFit="1" customWidth="1"/>
    <col min="7" max="7" width="10" bestFit="1" customWidth="1"/>
    <col min="8" max="8" width="9.625" bestFit="1" customWidth="1"/>
    <col min="9" max="9" width="10.5" style="192" bestFit="1" customWidth="1"/>
    <col min="10" max="10" width="8.25" bestFit="1" customWidth="1"/>
    <col min="11" max="11" width="10.875" bestFit="1" customWidth="1"/>
    <col min="12" max="12" width="9.125" bestFit="1" customWidth="1"/>
    <col min="13" max="13" width="16.125" style="87" bestFit="1" customWidth="1"/>
    <col min="14" max="14" width="27.625" style="87" bestFit="1" customWidth="1"/>
    <col min="15" max="15" width="31.25" bestFit="1" customWidth="1"/>
    <col min="16" max="16" width="43.5" style="116" customWidth="1"/>
    <col min="17" max="17" width="30.25" style="14" bestFit="1" customWidth="1"/>
    <col min="18" max="18" width="8.625" style="15" bestFit="1" customWidth="1"/>
    <col min="19" max="19" width="11.75" bestFit="1" customWidth="1"/>
    <col min="20" max="20" width="13.75" bestFit="1" customWidth="1"/>
    <col min="21" max="21" width="12" bestFit="1" customWidth="1"/>
    <col min="22" max="22" width="15.75" bestFit="1" customWidth="1"/>
    <col min="23" max="23" width="12.125" bestFit="1" customWidth="1"/>
    <col min="24" max="24" width="11.5" style="15" bestFit="1" customWidth="1"/>
    <col min="25" max="25" width="11.375" style="16" bestFit="1" customWidth="1"/>
    <col min="26" max="26" width="11.625" customWidth="1"/>
    <col min="27" max="27" width="11.25" bestFit="1" customWidth="1"/>
    <col min="29" max="29" width="11.375" style="176" bestFit="1" customWidth="1"/>
    <col min="30" max="30" width="8.875" style="199" bestFit="1" customWidth="1"/>
  </cols>
  <sheetData>
    <row r="1" spans="1:30" ht="24" customHeight="1">
      <c r="A1" s="180" t="s">
        <v>0</v>
      </c>
      <c r="B1" s="205" t="s">
        <v>1</v>
      </c>
      <c r="C1" s="206" t="s">
        <v>108</v>
      </c>
      <c r="D1" s="207" t="s">
        <v>2</v>
      </c>
      <c r="E1" s="207" t="s">
        <v>3</v>
      </c>
      <c r="F1" s="207" t="s">
        <v>4</v>
      </c>
      <c r="G1" s="207" t="s">
        <v>169</v>
      </c>
      <c r="H1" s="1" t="s">
        <v>109</v>
      </c>
      <c r="I1" s="208" t="s">
        <v>168</v>
      </c>
      <c r="J1" s="207" t="s">
        <v>5</v>
      </c>
      <c r="K1" s="1" t="s">
        <v>6</v>
      </c>
      <c r="L1" s="207" t="s">
        <v>7</v>
      </c>
      <c r="M1" s="209" t="s">
        <v>8</v>
      </c>
      <c r="N1" s="209" t="s">
        <v>9</v>
      </c>
      <c r="O1" s="207" t="s">
        <v>10</v>
      </c>
      <c r="P1" s="114" t="s">
        <v>11</v>
      </c>
      <c r="Q1" s="210" t="s">
        <v>12</v>
      </c>
      <c r="R1" s="207" t="s">
        <v>13</v>
      </c>
      <c r="S1" s="211" t="s">
        <v>14</v>
      </c>
      <c r="T1" s="211" t="s">
        <v>165</v>
      </c>
      <c r="U1" s="211" t="s">
        <v>167</v>
      </c>
      <c r="V1" s="211" t="s">
        <v>166</v>
      </c>
      <c r="W1" s="207" t="s">
        <v>15</v>
      </c>
      <c r="X1" s="207" t="s">
        <v>16</v>
      </c>
      <c r="Y1" s="212" t="s">
        <v>17</v>
      </c>
      <c r="Z1" s="213" t="s">
        <v>172</v>
      </c>
      <c r="AA1" s="207" t="s">
        <v>18</v>
      </c>
      <c r="AC1" s="175" t="s">
        <v>164</v>
      </c>
      <c r="AD1" s="198" t="s">
        <v>2246</v>
      </c>
    </row>
    <row r="2" spans="1:30">
      <c r="B2" s="183">
        <f t="shared" ref="B2" si="0">IF(F2&gt;0,IFERROR(WEEKNUM(F2),""),"")</f>
        <v>13</v>
      </c>
      <c r="C2" s="107" t="str">
        <f t="shared" ref="C2" si="1">IF(D2=0,"",(IF(LEFT(D2,3)="ATK","ATK",IF(LEFT(D2,2)="AT",D2,"ATK"))))</f>
        <v>ATK</v>
      </c>
      <c r="D2" s="2" t="s">
        <v>184</v>
      </c>
      <c r="E2" s="3">
        <v>43699</v>
      </c>
      <c r="F2" s="3">
        <v>43916</v>
      </c>
      <c r="G2" s="108">
        <f t="shared" ref="G2" si="2">IF(F2&gt;0,MONTH(F2),"")</f>
        <v>3</v>
      </c>
      <c r="H2" s="108" t="str">
        <f t="shared" ref="H2" si="3">IF(I2=0,"",IF(RIGHT(I2,2)="완료","완료",IF(RIGHT(I2,2)="불가","수리불가",IF(RIGHT(I2,1)="중","수리중","Other"))))</f>
        <v>완료</v>
      </c>
      <c r="I2" s="112" t="s">
        <v>514</v>
      </c>
      <c r="J2" s="4" t="s">
        <v>132</v>
      </c>
      <c r="K2" s="5" t="s">
        <v>143</v>
      </c>
      <c r="L2" s="6" t="str">
        <f t="shared" ref="L2:L65" si="4">LEFT(K2,3)</f>
        <v>3T4</v>
      </c>
      <c r="M2" s="13" t="s">
        <v>158</v>
      </c>
      <c r="N2" s="7" t="s">
        <v>3482</v>
      </c>
      <c r="O2" s="13" t="s">
        <v>4085</v>
      </c>
      <c r="P2" s="115"/>
      <c r="Q2" s="8"/>
      <c r="R2" s="2">
        <v>1</v>
      </c>
      <c r="S2" s="9">
        <v>5000</v>
      </c>
      <c r="T2" s="10">
        <f t="shared" ref="T2:T65" si="5">(S2*50)/100*R2</f>
        <v>2500</v>
      </c>
      <c r="U2" s="9">
        <v>100</v>
      </c>
      <c r="V2" s="10">
        <f t="shared" ref="V2:V65" si="6">T2-U2</f>
        <v>2400</v>
      </c>
      <c r="W2" s="4" t="s">
        <v>123</v>
      </c>
      <c r="X2" s="2" t="s">
        <v>124</v>
      </c>
      <c r="Y2" s="11">
        <v>4</v>
      </c>
      <c r="Z2" s="12">
        <f t="shared" ref="Z2:Z65" si="7">F2-E2</f>
        <v>217</v>
      </c>
      <c r="AA2" s="4" t="s">
        <v>117</v>
      </c>
      <c r="AC2" s="176">
        <f>U2/1100</f>
        <v>9.0909090909090912E-2</v>
      </c>
      <c r="AD2"/>
    </row>
    <row r="3" spans="1:30">
      <c r="B3" s="183">
        <f t="shared" ref="B3:B66" si="8">IF(F3&gt;0,IFERROR(WEEKNUM(F3),""),"")</f>
        <v>13</v>
      </c>
      <c r="C3" s="107" t="str">
        <f t="shared" ref="C3:C66" si="9">IF(D3=0,"",(IF(LEFT(D3,3)="ATK","ATK",IF(LEFT(D3,2)="AT",D3,"ATK"))))</f>
        <v>ATK</v>
      </c>
      <c r="D3" s="2" t="s">
        <v>184</v>
      </c>
      <c r="E3" s="3">
        <v>43699</v>
      </c>
      <c r="F3" s="3">
        <v>43916</v>
      </c>
      <c r="G3" s="108">
        <f t="shared" ref="G3:G66" si="10">IF(F3&gt;0,MONTH(F3),"")</f>
        <v>3</v>
      </c>
      <c r="H3" s="108" t="str">
        <f t="shared" ref="H3:H66" si="11">IF(I3=0,"",IF(RIGHT(I3,2)="완료","완료",IF(RIGHT(I3,2)="불가","수리불가",IF(RIGHT(I3,1)="중","수리중","Other"))))</f>
        <v>완료</v>
      </c>
      <c r="I3" s="112" t="s">
        <v>514</v>
      </c>
      <c r="J3" s="4" t="s">
        <v>132</v>
      </c>
      <c r="K3" s="5" t="s">
        <v>143</v>
      </c>
      <c r="L3" s="6" t="str">
        <f t="shared" si="4"/>
        <v>3T4</v>
      </c>
      <c r="M3" s="13" t="s">
        <v>158</v>
      </c>
      <c r="N3" s="7" t="s">
        <v>3482</v>
      </c>
      <c r="O3" s="13" t="s">
        <v>185</v>
      </c>
      <c r="P3" s="115"/>
      <c r="Q3" s="8"/>
      <c r="R3" s="2">
        <v>1</v>
      </c>
      <c r="S3" s="9">
        <v>5000</v>
      </c>
      <c r="T3" s="10">
        <f t="shared" si="5"/>
        <v>2500</v>
      </c>
      <c r="U3" s="9">
        <v>100</v>
      </c>
      <c r="V3" s="10">
        <f t="shared" si="6"/>
        <v>2400</v>
      </c>
      <c r="W3" s="4" t="s">
        <v>123</v>
      </c>
      <c r="X3" s="2" t="s">
        <v>124</v>
      </c>
      <c r="Y3" s="11">
        <v>10</v>
      </c>
      <c r="Z3" s="12">
        <f t="shared" si="7"/>
        <v>217</v>
      </c>
      <c r="AA3" s="4" t="s">
        <v>117</v>
      </c>
      <c r="AC3" s="176">
        <f t="shared" ref="AC3:AC66" si="12">U3/1100</f>
        <v>9.0909090909090912E-2</v>
      </c>
      <c r="AD3"/>
    </row>
    <row r="4" spans="1:30">
      <c r="B4" s="183">
        <f t="shared" si="8"/>
        <v>9</v>
      </c>
      <c r="C4" s="107" t="str">
        <f t="shared" si="9"/>
        <v>ATK</v>
      </c>
      <c r="D4" s="2" t="s">
        <v>159</v>
      </c>
      <c r="E4" s="3">
        <v>43803</v>
      </c>
      <c r="F4" s="3">
        <v>43885</v>
      </c>
      <c r="G4" s="108">
        <f t="shared" si="10"/>
        <v>2</v>
      </c>
      <c r="H4" s="108" t="str">
        <f t="shared" si="11"/>
        <v>완료</v>
      </c>
      <c r="I4" s="112" t="s">
        <v>218</v>
      </c>
      <c r="J4" s="4" t="s">
        <v>132</v>
      </c>
      <c r="K4" s="5" t="s">
        <v>133</v>
      </c>
      <c r="L4" s="6" t="str">
        <f t="shared" si="4"/>
        <v>3T3</v>
      </c>
      <c r="M4" s="13" t="s">
        <v>148</v>
      </c>
      <c r="N4" s="7" t="s">
        <v>3483</v>
      </c>
      <c r="O4" s="13" t="s">
        <v>187</v>
      </c>
      <c r="P4" s="115"/>
      <c r="Q4" s="8"/>
      <c r="R4" s="2">
        <v>1</v>
      </c>
      <c r="S4" s="9">
        <v>900</v>
      </c>
      <c r="T4" s="10">
        <f t="shared" si="5"/>
        <v>450</v>
      </c>
      <c r="U4" s="9">
        <v>30</v>
      </c>
      <c r="V4" s="10">
        <f t="shared" si="6"/>
        <v>420</v>
      </c>
      <c r="W4" s="4" t="s">
        <v>122</v>
      </c>
      <c r="X4" s="2"/>
      <c r="Y4" s="11">
        <v>3</v>
      </c>
      <c r="Z4" s="12">
        <f t="shared" si="7"/>
        <v>82</v>
      </c>
      <c r="AA4" s="4" t="s">
        <v>175</v>
      </c>
      <c r="AC4" s="176">
        <f t="shared" si="12"/>
        <v>2.7272727272727271E-2</v>
      </c>
      <c r="AD4"/>
    </row>
    <row r="5" spans="1:30">
      <c r="B5" s="183">
        <f t="shared" si="8"/>
        <v>9</v>
      </c>
      <c r="C5" s="107" t="str">
        <f t="shared" si="9"/>
        <v>ATK</v>
      </c>
      <c r="D5" s="2" t="s">
        <v>160</v>
      </c>
      <c r="E5" s="3">
        <v>43809</v>
      </c>
      <c r="F5" s="3">
        <v>43885</v>
      </c>
      <c r="G5" s="108">
        <f t="shared" si="10"/>
        <v>2</v>
      </c>
      <c r="H5" s="108" t="str">
        <f t="shared" si="11"/>
        <v>완료</v>
      </c>
      <c r="I5" s="112" t="s">
        <v>218</v>
      </c>
      <c r="J5" s="4" t="s">
        <v>115</v>
      </c>
      <c r="K5" s="5" t="s">
        <v>116</v>
      </c>
      <c r="L5" s="6" t="str">
        <f t="shared" si="4"/>
        <v>EE2</v>
      </c>
      <c r="M5" s="13" t="s">
        <v>142</v>
      </c>
      <c r="N5" s="7" t="s">
        <v>3484</v>
      </c>
      <c r="O5" s="13" t="s">
        <v>188</v>
      </c>
      <c r="P5" s="115" t="s">
        <v>129</v>
      </c>
      <c r="Q5" s="8"/>
      <c r="R5" s="2">
        <v>1</v>
      </c>
      <c r="S5" s="9">
        <v>20000</v>
      </c>
      <c r="T5" s="10">
        <f t="shared" si="5"/>
        <v>10000</v>
      </c>
      <c r="U5" s="9">
        <v>10</v>
      </c>
      <c r="V5" s="10">
        <f t="shared" si="6"/>
        <v>9990</v>
      </c>
      <c r="W5" s="4" t="s">
        <v>122</v>
      </c>
      <c r="X5" s="2"/>
      <c r="Y5" s="11">
        <v>4</v>
      </c>
      <c r="Z5" s="12">
        <f t="shared" si="7"/>
        <v>76</v>
      </c>
      <c r="AA5" s="4" t="s">
        <v>130</v>
      </c>
      <c r="AC5" s="176">
        <f t="shared" si="12"/>
        <v>9.0909090909090905E-3</v>
      </c>
      <c r="AD5"/>
    </row>
    <row r="6" spans="1:30">
      <c r="B6" s="183">
        <f t="shared" si="8"/>
        <v>5</v>
      </c>
      <c r="C6" s="107" t="str">
        <f t="shared" si="9"/>
        <v>ATK</v>
      </c>
      <c r="D6" s="2" t="s">
        <v>189</v>
      </c>
      <c r="E6" s="3">
        <v>43809</v>
      </c>
      <c r="F6" s="3">
        <v>43859</v>
      </c>
      <c r="G6" s="108">
        <f t="shared" si="10"/>
        <v>1</v>
      </c>
      <c r="H6" s="108" t="str">
        <f t="shared" si="11"/>
        <v>수리불가</v>
      </c>
      <c r="I6" s="112" t="s">
        <v>670</v>
      </c>
      <c r="J6" s="4" t="s">
        <v>118</v>
      </c>
      <c r="K6" s="5" t="s">
        <v>134</v>
      </c>
      <c r="L6" s="6" t="str">
        <f t="shared" si="4"/>
        <v>2T1</v>
      </c>
      <c r="M6" s="13" t="s">
        <v>155</v>
      </c>
      <c r="N6" s="7" t="s">
        <v>3485</v>
      </c>
      <c r="O6" s="13" t="s">
        <v>140</v>
      </c>
      <c r="P6" s="115" t="s">
        <v>190</v>
      </c>
      <c r="Q6" s="8"/>
      <c r="R6" s="2">
        <v>2</v>
      </c>
      <c r="S6" s="9">
        <v>8000</v>
      </c>
      <c r="T6" s="10">
        <f t="shared" si="5"/>
        <v>8000</v>
      </c>
      <c r="U6" s="9">
        <v>0</v>
      </c>
      <c r="V6" s="10">
        <f t="shared" si="6"/>
        <v>8000</v>
      </c>
      <c r="W6" s="4" t="s">
        <v>123</v>
      </c>
      <c r="X6" s="2" t="s">
        <v>124</v>
      </c>
      <c r="Y6" s="11">
        <v>2</v>
      </c>
      <c r="Z6" s="12">
        <f t="shared" si="7"/>
        <v>50</v>
      </c>
      <c r="AA6" s="4" t="s">
        <v>117</v>
      </c>
      <c r="AC6" s="176">
        <f t="shared" si="12"/>
        <v>0</v>
      </c>
      <c r="AD6"/>
    </row>
    <row r="7" spans="1:30">
      <c r="B7" s="183">
        <f t="shared" si="8"/>
        <v>2</v>
      </c>
      <c r="C7" s="107" t="str">
        <f t="shared" si="9"/>
        <v>ATP</v>
      </c>
      <c r="D7" s="2" t="s">
        <v>141</v>
      </c>
      <c r="E7" s="3">
        <v>43809</v>
      </c>
      <c r="F7" s="3">
        <v>43836</v>
      </c>
      <c r="G7" s="108">
        <f t="shared" si="10"/>
        <v>1</v>
      </c>
      <c r="H7" s="108" t="str">
        <f t="shared" si="11"/>
        <v>완료</v>
      </c>
      <c r="I7" s="112" t="s">
        <v>218</v>
      </c>
      <c r="J7" s="4" t="s">
        <v>141</v>
      </c>
      <c r="K7" s="5" t="s">
        <v>141</v>
      </c>
      <c r="L7" s="6" t="str">
        <f t="shared" si="4"/>
        <v>ATP</v>
      </c>
      <c r="M7" s="13" t="s">
        <v>179</v>
      </c>
      <c r="N7" s="7" t="s">
        <v>3486</v>
      </c>
      <c r="O7" s="13" t="s">
        <v>180</v>
      </c>
      <c r="P7" s="115" t="s">
        <v>181</v>
      </c>
      <c r="Q7" s="8" t="s">
        <v>183</v>
      </c>
      <c r="R7" s="2">
        <v>1</v>
      </c>
      <c r="S7" s="9">
        <v>2320</v>
      </c>
      <c r="T7" s="10">
        <f t="shared" si="5"/>
        <v>1160</v>
      </c>
      <c r="U7" s="9">
        <v>10</v>
      </c>
      <c r="V7" s="10">
        <f t="shared" si="6"/>
        <v>1150</v>
      </c>
      <c r="W7" s="4" t="s">
        <v>122</v>
      </c>
      <c r="X7" s="2"/>
      <c r="Y7" s="11">
        <v>4</v>
      </c>
      <c r="Z7" s="12">
        <f t="shared" si="7"/>
        <v>27</v>
      </c>
      <c r="AA7" s="4" t="s">
        <v>117</v>
      </c>
      <c r="AC7" s="176">
        <f t="shared" si="12"/>
        <v>9.0909090909090905E-3</v>
      </c>
      <c r="AD7"/>
    </row>
    <row r="8" spans="1:30">
      <c r="B8" s="183">
        <f t="shared" si="8"/>
        <v>2</v>
      </c>
      <c r="C8" s="107" t="str">
        <f t="shared" si="9"/>
        <v>ATP</v>
      </c>
      <c r="D8" s="2" t="s">
        <v>141</v>
      </c>
      <c r="E8" s="3">
        <v>43809</v>
      </c>
      <c r="F8" s="3">
        <v>43836</v>
      </c>
      <c r="G8" s="108">
        <f t="shared" si="10"/>
        <v>1</v>
      </c>
      <c r="H8" s="108" t="str">
        <f t="shared" si="11"/>
        <v>완료</v>
      </c>
      <c r="I8" s="112" t="s">
        <v>218</v>
      </c>
      <c r="J8" s="4" t="s">
        <v>141</v>
      </c>
      <c r="K8" s="5" t="s">
        <v>141</v>
      </c>
      <c r="L8" s="6" t="str">
        <f t="shared" si="4"/>
        <v>ATP</v>
      </c>
      <c r="M8" s="13" t="s">
        <v>179</v>
      </c>
      <c r="N8" s="7" t="s">
        <v>3487</v>
      </c>
      <c r="O8" s="13" t="s">
        <v>372</v>
      </c>
      <c r="P8" s="115" t="s">
        <v>182</v>
      </c>
      <c r="Q8" s="8">
        <v>8171607</v>
      </c>
      <c r="R8" s="2">
        <v>1</v>
      </c>
      <c r="S8" s="9">
        <v>8700</v>
      </c>
      <c r="T8" s="10">
        <f t="shared" si="5"/>
        <v>4350</v>
      </c>
      <c r="U8" s="9">
        <v>50</v>
      </c>
      <c r="V8" s="10">
        <f t="shared" si="6"/>
        <v>4300</v>
      </c>
      <c r="W8" s="4" t="s">
        <v>122</v>
      </c>
      <c r="X8" s="2"/>
      <c r="Y8" s="11">
        <v>4</v>
      </c>
      <c r="Z8" s="12">
        <f t="shared" si="7"/>
        <v>27</v>
      </c>
      <c r="AA8" s="4" t="s">
        <v>117</v>
      </c>
      <c r="AC8" s="176">
        <f t="shared" si="12"/>
        <v>4.5454545454545456E-2</v>
      </c>
      <c r="AD8"/>
    </row>
    <row r="9" spans="1:30">
      <c r="B9" s="183">
        <f t="shared" si="8"/>
        <v>6</v>
      </c>
      <c r="C9" s="107" t="str">
        <f t="shared" si="9"/>
        <v>ATK</v>
      </c>
      <c r="D9" s="2" t="s">
        <v>186</v>
      </c>
      <c r="E9" s="3">
        <v>43810</v>
      </c>
      <c r="F9" s="3">
        <v>43868</v>
      </c>
      <c r="G9" s="108">
        <f t="shared" si="10"/>
        <v>2</v>
      </c>
      <c r="H9" s="108" t="str">
        <f t="shared" si="11"/>
        <v>수리불가</v>
      </c>
      <c r="I9" s="112" t="s">
        <v>670</v>
      </c>
      <c r="J9" s="4" t="s">
        <v>118</v>
      </c>
      <c r="K9" s="5" t="s">
        <v>134</v>
      </c>
      <c r="L9" s="6" t="str">
        <f t="shared" si="4"/>
        <v>2T1</v>
      </c>
      <c r="M9" s="13" t="s">
        <v>155</v>
      </c>
      <c r="N9" s="7" t="s">
        <v>3485</v>
      </c>
      <c r="O9" s="13" t="s">
        <v>140</v>
      </c>
      <c r="P9" s="115" t="s">
        <v>191</v>
      </c>
      <c r="Q9" s="8"/>
      <c r="R9" s="2">
        <v>1</v>
      </c>
      <c r="S9" s="9">
        <v>8000</v>
      </c>
      <c r="T9" s="10">
        <f t="shared" si="5"/>
        <v>4000</v>
      </c>
      <c r="U9" s="9">
        <v>0</v>
      </c>
      <c r="V9" s="10">
        <f t="shared" si="6"/>
        <v>4000</v>
      </c>
      <c r="W9" s="4" t="s">
        <v>123</v>
      </c>
      <c r="X9" s="2" t="s">
        <v>124</v>
      </c>
      <c r="Y9" s="11">
        <v>1</v>
      </c>
      <c r="Z9" s="12">
        <f t="shared" si="7"/>
        <v>58</v>
      </c>
      <c r="AA9" s="4" t="s">
        <v>117</v>
      </c>
      <c r="AC9" s="176">
        <f t="shared" si="12"/>
        <v>0</v>
      </c>
      <c r="AD9"/>
    </row>
    <row r="10" spans="1:30">
      <c r="B10" s="183">
        <f t="shared" si="8"/>
        <v>2</v>
      </c>
      <c r="C10" s="107" t="str">
        <f t="shared" si="9"/>
        <v>ATK</v>
      </c>
      <c r="D10" s="2" t="s">
        <v>192</v>
      </c>
      <c r="E10" s="3">
        <v>43818</v>
      </c>
      <c r="F10" s="3">
        <v>43838</v>
      </c>
      <c r="G10" s="108">
        <f t="shared" si="10"/>
        <v>1</v>
      </c>
      <c r="H10" s="108" t="str">
        <f t="shared" si="11"/>
        <v>완료</v>
      </c>
      <c r="I10" s="112" t="s">
        <v>218</v>
      </c>
      <c r="J10" s="4" t="s">
        <v>118</v>
      </c>
      <c r="K10" s="5" t="s">
        <v>119</v>
      </c>
      <c r="L10" s="6" t="str">
        <f t="shared" si="4"/>
        <v>2T3</v>
      </c>
      <c r="M10" s="13" t="s">
        <v>193</v>
      </c>
      <c r="N10" s="7" t="s">
        <v>3488</v>
      </c>
      <c r="O10" s="13" t="s">
        <v>194</v>
      </c>
      <c r="P10" s="115"/>
      <c r="Q10" s="8"/>
      <c r="R10" s="2">
        <v>1</v>
      </c>
      <c r="S10" s="9">
        <v>400</v>
      </c>
      <c r="T10" s="10">
        <f t="shared" si="5"/>
        <v>200</v>
      </c>
      <c r="U10" s="9">
        <v>5</v>
      </c>
      <c r="V10" s="10">
        <f t="shared" si="6"/>
        <v>195</v>
      </c>
      <c r="W10" s="4" t="s">
        <v>122</v>
      </c>
      <c r="X10" s="2"/>
      <c r="Y10" s="11">
        <v>1</v>
      </c>
      <c r="Z10" s="12">
        <f t="shared" si="7"/>
        <v>20</v>
      </c>
      <c r="AA10" s="4" t="s">
        <v>117</v>
      </c>
      <c r="AC10" s="176">
        <f t="shared" si="12"/>
        <v>4.5454545454545452E-3</v>
      </c>
      <c r="AD10"/>
    </row>
    <row r="11" spans="1:30">
      <c r="B11" s="183">
        <f t="shared" si="8"/>
        <v>2</v>
      </c>
      <c r="C11" s="107" t="str">
        <f t="shared" si="9"/>
        <v>ATK</v>
      </c>
      <c r="D11" s="2" t="s">
        <v>192</v>
      </c>
      <c r="E11" s="3">
        <v>43818</v>
      </c>
      <c r="F11" s="3">
        <v>43839</v>
      </c>
      <c r="G11" s="108">
        <f t="shared" si="10"/>
        <v>1</v>
      </c>
      <c r="H11" s="108" t="str">
        <f t="shared" si="11"/>
        <v>완료</v>
      </c>
      <c r="I11" s="112" t="s">
        <v>218</v>
      </c>
      <c r="J11" s="4" t="s">
        <v>118</v>
      </c>
      <c r="K11" s="5" t="s">
        <v>119</v>
      </c>
      <c r="L11" s="6" t="str">
        <f t="shared" si="4"/>
        <v>2T3</v>
      </c>
      <c r="M11" s="13" t="s">
        <v>193</v>
      </c>
      <c r="N11" s="7" t="s">
        <v>3489</v>
      </c>
      <c r="O11" s="13" t="s">
        <v>195</v>
      </c>
      <c r="P11" s="115"/>
      <c r="Q11" s="8"/>
      <c r="R11" s="2">
        <v>1</v>
      </c>
      <c r="S11" s="9">
        <v>300</v>
      </c>
      <c r="T11" s="10">
        <f t="shared" si="5"/>
        <v>150</v>
      </c>
      <c r="U11" s="9">
        <v>5</v>
      </c>
      <c r="V11" s="10">
        <f t="shared" si="6"/>
        <v>145</v>
      </c>
      <c r="W11" s="4" t="s">
        <v>122</v>
      </c>
      <c r="X11" s="2"/>
      <c r="Y11" s="11">
        <v>5</v>
      </c>
      <c r="Z11" s="12">
        <f t="shared" si="7"/>
        <v>21</v>
      </c>
      <c r="AA11" s="4" t="s">
        <v>117</v>
      </c>
      <c r="AC11" s="176">
        <f t="shared" si="12"/>
        <v>4.5454545454545452E-3</v>
      </c>
      <c r="AD11"/>
    </row>
    <row r="12" spans="1:30">
      <c r="B12" s="183">
        <f t="shared" si="8"/>
        <v>3</v>
      </c>
      <c r="C12" s="107" t="str">
        <f t="shared" si="9"/>
        <v>ATK</v>
      </c>
      <c r="D12" s="2" t="s">
        <v>156</v>
      </c>
      <c r="E12" s="3">
        <v>43818</v>
      </c>
      <c r="F12" s="3">
        <v>43847</v>
      </c>
      <c r="G12" s="108">
        <f t="shared" si="10"/>
        <v>1</v>
      </c>
      <c r="H12" s="108" t="str">
        <f t="shared" si="11"/>
        <v>완료</v>
      </c>
      <c r="I12" s="112" t="s">
        <v>218</v>
      </c>
      <c r="J12" s="4" t="s">
        <v>115</v>
      </c>
      <c r="K12" s="5" t="s">
        <v>138</v>
      </c>
      <c r="L12" s="6" t="str">
        <f t="shared" si="4"/>
        <v>EE1</v>
      </c>
      <c r="M12" s="13" t="s">
        <v>158</v>
      </c>
      <c r="N12" s="7" t="s">
        <v>5475</v>
      </c>
      <c r="O12" s="13" t="s">
        <v>140</v>
      </c>
      <c r="P12" s="115" t="s">
        <v>196</v>
      </c>
      <c r="Q12" s="8"/>
      <c r="R12" s="2">
        <v>1</v>
      </c>
      <c r="S12" s="9">
        <v>1200</v>
      </c>
      <c r="T12" s="10">
        <f t="shared" si="5"/>
        <v>600</v>
      </c>
      <c r="U12" s="9"/>
      <c r="V12" s="10">
        <f t="shared" si="6"/>
        <v>600</v>
      </c>
      <c r="W12" s="4" t="s">
        <v>122</v>
      </c>
      <c r="X12" s="2"/>
      <c r="Y12" s="11">
        <v>3</v>
      </c>
      <c r="Z12" s="12">
        <f t="shared" si="7"/>
        <v>29</v>
      </c>
      <c r="AA12" s="4" t="s">
        <v>212</v>
      </c>
      <c r="AC12" s="176">
        <f t="shared" si="12"/>
        <v>0</v>
      </c>
      <c r="AD12"/>
    </row>
    <row r="13" spans="1:30">
      <c r="B13" s="183">
        <f t="shared" si="8"/>
        <v>2</v>
      </c>
      <c r="C13" s="107" t="str">
        <f t="shared" si="9"/>
        <v>ATK</v>
      </c>
      <c r="D13" s="2" t="s">
        <v>145</v>
      </c>
      <c r="E13" s="3">
        <v>43823</v>
      </c>
      <c r="F13" s="3">
        <v>43836</v>
      </c>
      <c r="G13" s="108">
        <f t="shared" si="10"/>
        <v>1</v>
      </c>
      <c r="H13" s="108" t="str">
        <f t="shared" si="11"/>
        <v>완료</v>
      </c>
      <c r="I13" s="112" t="s">
        <v>218</v>
      </c>
      <c r="J13" s="4" t="s">
        <v>121</v>
      </c>
      <c r="K13" s="5" t="s">
        <v>136</v>
      </c>
      <c r="L13" s="6" t="str">
        <f t="shared" si="4"/>
        <v>5T1</v>
      </c>
      <c r="M13" s="13" t="s">
        <v>147</v>
      </c>
      <c r="N13" s="7" t="s">
        <v>197</v>
      </c>
      <c r="O13" s="13" t="s">
        <v>147</v>
      </c>
      <c r="P13" s="115" t="s">
        <v>198</v>
      </c>
      <c r="Q13" s="8"/>
      <c r="R13" s="2">
        <v>2</v>
      </c>
      <c r="S13" s="9">
        <v>710</v>
      </c>
      <c r="T13" s="10">
        <f t="shared" si="5"/>
        <v>710</v>
      </c>
      <c r="U13" s="9">
        <v>75</v>
      </c>
      <c r="V13" s="10">
        <f t="shared" si="6"/>
        <v>635</v>
      </c>
      <c r="W13" s="4" t="s">
        <v>122</v>
      </c>
      <c r="X13" s="2"/>
      <c r="Y13" s="11">
        <v>4</v>
      </c>
      <c r="Z13" s="12">
        <f t="shared" si="7"/>
        <v>13</v>
      </c>
      <c r="AA13" s="4" t="s">
        <v>174</v>
      </c>
      <c r="AC13" s="176">
        <f t="shared" si="12"/>
        <v>6.8181818181818177E-2</v>
      </c>
      <c r="AD13"/>
    </row>
    <row r="14" spans="1:30">
      <c r="B14" s="183">
        <f t="shared" si="8"/>
        <v>2</v>
      </c>
      <c r="C14" s="107" t="str">
        <f t="shared" si="9"/>
        <v>ATK</v>
      </c>
      <c r="D14" s="2" t="s">
        <v>199</v>
      </c>
      <c r="E14" s="3">
        <v>43823</v>
      </c>
      <c r="F14" s="3">
        <v>43837</v>
      </c>
      <c r="G14" s="108">
        <f t="shared" si="10"/>
        <v>1</v>
      </c>
      <c r="H14" s="108" t="str">
        <f t="shared" si="11"/>
        <v>완료</v>
      </c>
      <c r="I14" s="112" t="s">
        <v>218</v>
      </c>
      <c r="J14" s="4" t="s">
        <v>173</v>
      </c>
      <c r="K14" s="5" t="s">
        <v>128</v>
      </c>
      <c r="L14" s="6" t="str">
        <f t="shared" si="4"/>
        <v>1T1</v>
      </c>
      <c r="M14" s="13" t="s">
        <v>147</v>
      </c>
      <c r="N14" s="7" t="s">
        <v>197</v>
      </c>
      <c r="O14" s="13" t="s">
        <v>147</v>
      </c>
      <c r="P14" s="115" t="s">
        <v>198</v>
      </c>
      <c r="Q14" s="8"/>
      <c r="R14" s="2">
        <v>1</v>
      </c>
      <c r="S14" s="9">
        <v>710</v>
      </c>
      <c r="T14" s="10">
        <f t="shared" si="5"/>
        <v>355</v>
      </c>
      <c r="U14" s="9"/>
      <c r="V14" s="10">
        <f t="shared" si="6"/>
        <v>355</v>
      </c>
      <c r="W14" s="4" t="s">
        <v>122</v>
      </c>
      <c r="X14" s="2"/>
      <c r="Y14" s="11">
        <v>2</v>
      </c>
      <c r="Z14" s="12">
        <f t="shared" si="7"/>
        <v>14</v>
      </c>
      <c r="AA14" s="4" t="s">
        <v>174</v>
      </c>
      <c r="AC14" s="176">
        <f t="shared" si="12"/>
        <v>0</v>
      </c>
      <c r="AD14"/>
    </row>
    <row r="15" spans="1:30">
      <c r="B15" s="183">
        <f t="shared" si="8"/>
        <v>1</v>
      </c>
      <c r="C15" s="107" t="str">
        <f t="shared" si="9"/>
        <v>ATK</v>
      </c>
      <c r="D15" s="2" t="s">
        <v>146</v>
      </c>
      <c r="E15" s="3">
        <v>43823</v>
      </c>
      <c r="F15" s="3">
        <v>43833</v>
      </c>
      <c r="G15" s="108">
        <f t="shared" si="10"/>
        <v>1</v>
      </c>
      <c r="H15" s="108" t="str">
        <f t="shared" si="11"/>
        <v>완료</v>
      </c>
      <c r="I15" s="112" t="s">
        <v>218</v>
      </c>
      <c r="J15" s="4" t="s">
        <v>127</v>
      </c>
      <c r="K15" s="5" t="s">
        <v>131</v>
      </c>
      <c r="L15" s="6" t="str">
        <f t="shared" si="4"/>
        <v>1T4</v>
      </c>
      <c r="M15" s="13" t="s">
        <v>147</v>
      </c>
      <c r="N15" s="7" t="s">
        <v>3490</v>
      </c>
      <c r="O15" s="13" t="s">
        <v>147</v>
      </c>
      <c r="P15" s="115" t="s">
        <v>198</v>
      </c>
      <c r="Q15" s="8"/>
      <c r="R15" s="2">
        <v>1</v>
      </c>
      <c r="S15" s="9">
        <v>1900</v>
      </c>
      <c r="T15" s="10">
        <f t="shared" si="5"/>
        <v>950</v>
      </c>
      <c r="U15" s="9">
        <v>0</v>
      </c>
      <c r="V15" s="10">
        <f t="shared" si="6"/>
        <v>950</v>
      </c>
      <c r="W15" s="4" t="s">
        <v>122</v>
      </c>
      <c r="X15" s="2"/>
      <c r="Y15" s="11">
        <v>3</v>
      </c>
      <c r="Z15" s="12">
        <f t="shared" si="7"/>
        <v>10</v>
      </c>
      <c r="AA15" s="4" t="s">
        <v>174</v>
      </c>
      <c r="AC15" s="176">
        <f t="shared" si="12"/>
        <v>0</v>
      </c>
      <c r="AD15"/>
    </row>
    <row r="16" spans="1:30">
      <c r="B16" s="183">
        <f t="shared" si="8"/>
        <v>4</v>
      </c>
      <c r="C16" s="107" t="str">
        <f t="shared" si="9"/>
        <v>ATK</v>
      </c>
      <c r="D16" s="2" t="s">
        <v>125</v>
      </c>
      <c r="E16" s="3">
        <v>43823</v>
      </c>
      <c r="F16" s="3">
        <v>43852</v>
      </c>
      <c r="G16" s="108">
        <f t="shared" si="10"/>
        <v>1</v>
      </c>
      <c r="H16" s="108" t="str">
        <f t="shared" si="11"/>
        <v>완료</v>
      </c>
      <c r="I16" s="112" t="s">
        <v>514</v>
      </c>
      <c r="J16" s="4" t="s">
        <v>132</v>
      </c>
      <c r="K16" s="5" t="s">
        <v>119</v>
      </c>
      <c r="L16" s="6" t="str">
        <f t="shared" si="4"/>
        <v>2T3</v>
      </c>
      <c r="M16" s="13" t="s">
        <v>126</v>
      </c>
      <c r="N16" s="7" t="s">
        <v>3491</v>
      </c>
      <c r="O16" s="13" t="s">
        <v>163</v>
      </c>
      <c r="P16" s="115"/>
      <c r="Q16" s="8"/>
      <c r="R16" s="2">
        <v>1</v>
      </c>
      <c r="S16" s="9">
        <v>5000</v>
      </c>
      <c r="T16" s="10">
        <f t="shared" si="5"/>
        <v>2500</v>
      </c>
      <c r="U16" s="9">
        <v>1800</v>
      </c>
      <c r="V16" s="10">
        <f t="shared" si="6"/>
        <v>700</v>
      </c>
      <c r="W16" s="4" t="s">
        <v>123</v>
      </c>
      <c r="X16" s="2" t="s">
        <v>124</v>
      </c>
      <c r="Y16" s="11">
        <v>1</v>
      </c>
      <c r="Z16" s="12">
        <f t="shared" si="7"/>
        <v>29</v>
      </c>
      <c r="AA16" s="4" t="s">
        <v>117</v>
      </c>
      <c r="AC16" s="176">
        <f t="shared" si="12"/>
        <v>1.6363636363636365</v>
      </c>
      <c r="AD16"/>
    </row>
    <row r="17" spans="1:29" customFormat="1">
      <c r="A17" s="181"/>
      <c r="B17" s="183">
        <f t="shared" si="8"/>
        <v>4</v>
      </c>
      <c r="C17" s="107" t="str">
        <f t="shared" si="9"/>
        <v>ATK</v>
      </c>
      <c r="D17" s="2" t="s">
        <v>125</v>
      </c>
      <c r="E17" s="3">
        <v>43823</v>
      </c>
      <c r="F17" s="3">
        <v>43852</v>
      </c>
      <c r="G17" s="108">
        <f t="shared" si="10"/>
        <v>1</v>
      </c>
      <c r="H17" s="108" t="str">
        <f t="shared" si="11"/>
        <v>완료</v>
      </c>
      <c r="I17" s="112" t="s">
        <v>514</v>
      </c>
      <c r="J17" s="4" t="s">
        <v>132</v>
      </c>
      <c r="K17" s="5" t="s">
        <v>119</v>
      </c>
      <c r="L17" s="6" t="str">
        <f t="shared" si="4"/>
        <v>2T3</v>
      </c>
      <c r="M17" s="13" t="s">
        <v>126</v>
      </c>
      <c r="N17" s="7" t="s">
        <v>3491</v>
      </c>
      <c r="O17" s="13" t="s">
        <v>163</v>
      </c>
      <c r="P17" s="115"/>
      <c r="Q17" s="8"/>
      <c r="R17" s="2">
        <v>1</v>
      </c>
      <c r="S17" s="9">
        <v>5000</v>
      </c>
      <c r="T17" s="10">
        <f t="shared" si="5"/>
        <v>2500</v>
      </c>
      <c r="U17" s="9">
        <v>1800</v>
      </c>
      <c r="V17" s="10">
        <f t="shared" si="6"/>
        <v>700</v>
      </c>
      <c r="W17" s="4" t="s">
        <v>123</v>
      </c>
      <c r="X17" s="2" t="s">
        <v>124</v>
      </c>
      <c r="Y17" s="11">
        <v>1</v>
      </c>
      <c r="Z17" s="12">
        <f t="shared" si="7"/>
        <v>29</v>
      </c>
      <c r="AA17" s="4" t="s">
        <v>117</v>
      </c>
      <c r="AC17" s="176">
        <f t="shared" si="12"/>
        <v>1.6363636363636365</v>
      </c>
    </row>
    <row r="18" spans="1:29" customFormat="1">
      <c r="A18" s="181"/>
      <c r="B18" s="183">
        <f t="shared" si="8"/>
        <v>25</v>
      </c>
      <c r="C18" s="107" t="str">
        <f t="shared" si="9"/>
        <v>ATK</v>
      </c>
      <c r="D18" s="2" t="s">
        <v>184</v>
      </c>
      <c r="E18" s="3">
        <v>43822</v>
      </c>
      <c r="F18" s="3">
        <v>44000</v>
      </c>
      <c r="G18" s="108">
        <f t="shared" si="10"/>
        <v>6</v>
      </c>
      <c r="H18" s="108" t="str">
        <f t="shared" si="11"/>
        <v>완료</v>
      </c>
      <c r="I18" s="112" t="s">
        <v>514</v>
      </c>
      <c r="J18" s="4" t="s">
        <v>132</v>
      </c>
      <c r="K18" s="5" t="s">
        <v>143</v>
      </c>
      <c r="L18" s="6" t="str">
        <f t="shared" si="4"/>
        <v>3T4</v>
      </c>
      <c r="M18" s="13" t="s">
        <v>158</v>
      </c>
      <c r="N18" s="7" t="s">
        <v>3482</v>
      </c>
      <c r="O18" s="13" t="s">
        <v>185</v>
      </c>
      <c r="P18" s="115"/>
      <c r="Q18" s="8"/>
      <c r="R18" s="2">
        <v>1</v>
      </c>
      <c r="S18" s="9">
        <v>5000</v>
      </c>
      <c r="T18" s="10">
        <f t="shared" si="5"/>
        <v>2500</v>
      </c>
      <c r="U18" s="9">
        <v>1200</v>
      </c>
      <c r="V18" s="10">
        <f t="shared" si="6"/>
        <v>1300</v>
      </c>
      <c r="W18" s="4" t="s">
        <v>123</v>
      </c>
      <c r="X18" s="2" t="s">
        <v>124</v>
      </c>
      <c r="Y18" s="11">
        <v>1</v>
      </c>
      <c r="Z18" s="12">
        <f t="shared" si="7"/>
        <v>178</v>
      </c>
      <c r="AA18" s="4" t="s">
        <v>117</v>
      </c>
      <c r="AC18" s="176">
        <f t="shared" si="12"/>
        <v>1.0909090909090908</v>
      </c>
    </row>
    <row r="19" spans="1:29" customFormat="1">
      <c r="A19" s="181"/>
      <c r="B19" s="183">
        <f t="shared" si="8"/>
        <v>2</v>
      </c>
      <c r="C19" s="107" t="str">
        <f t="shared" si="9"/>
        <v>ATK</v>
      </c>
      <c r="D19" s="2" t="s">
        <v>238</v>
      </c>
      <c r="E19" s="3">
        <v>43825</v>
      </c>
      <c r="F19" s="3">
        <v>43837</v>
      </c>
      <c r="G19" s="108">
        <f t="shared" si="10"/>
        <v>1</v>
      </c>
      <c r="H19" s="108" t="str">
        <f t="shared" si="11"/>
        <v>완료</v>
      </c>
      <c r="I19" s="112" t="s">
        <v>264</v>
      </c>
      <c r="J19" s="4" t="s">
        <v>132</v>
      </c>
      <c r="K19" s="5" t="s">
        <v>143</v>
      </c>
      <c r="L19" s="6" t="str">
        <f t="shared" si="4"/>
        <v>3T4</v>
      </c>
      <c r="M19" s="13" t="s">
        <v>162</v>
      </c>
      <c r="N19" s="7" t="s">
        <v>3492</v>
      </c>
      <c r="O19" s="13" t="s">
        <v>148</v>
      </c>
      <c r="P19" s="115" t="s">
        <v>161</v>
      </c>
      <c r="Q19" s="8"/>
      <c r="R19" s="2">
        <v>1</v>
      </c>
      <c r="S19" s="9">
        <v>500</v>
      </c>
      <c r="T19" s="10">
        <f t="shared" si="5"/>
        <v>250</v>
      </c>
      <c r="U19" s="9">
        <v>25</v>
      </c>
      <c r="V19" s="10">
        <f t="shared" si="6"/>
        <v>225</v>
      </c>
      <c r="W19" s="4" t="s">
        <v>122</v>
      </c>
      <c r="X19" s="2"/>
      <c r="Y19" s="11">
        <v>3</v>
      </c>
      <c r="Z19" s="12">
        <f t="shared" si="7"/>
        <v>12</v>
      </c>
      <c r="AA19" s="4" t="s">
        <v>174</v>
      </c>
      <c r="AC19" s="176">
        <f t="shared" si="12"/>
        <v>2.2727272727272728E-2</v>
      </c>
    </row>
    <row r="20" spans="1:29" customFormat="1">
      <c r="A20" s="181"/>
      <c r="B20" s="183">
        <f t="shared" si="8"/>
        <v>1</v>
      </c>
      <c r="C20" s="107" t="str">
        <f t="shared" si="9"/>
        <v>ATK</v>
      </c>
      <c r="D20" s="2" t="s">
        <v>204</v>
      </c>
      <c r="E20" s="3">
        <v>43832</v>
      </c>
      <c r="F20" s="3">
        <v>43832</v>
      </c>
      <c r="G20" s="108">
        <f t="shared" si="10"/>
        <v>1</v>
      </c>
      <c r="H20" s="108" t="str">
        <f t="shared" si="11"/>
        <v>완료</v>
      </c>
      <c r="I20" s="112" t="s">
        <v>218</v>
      </c>
      <c r="J20" s="4" t="s">
        <v>205</v>
      </c>
      <c r="K20" s="5" t="s">
        <v>206</v>
      </c>
      <c r="L20" s="6" t="str">
        <f t="shared" si="4"/>
        <v>1T1</v>
      </c>
      <c r="M20" s="13" t="s">
        <v>207</v>
      </c>
      <c r="N20" s="7" t="s">
        <v>3493</v>
      </c>
      <c r="O20" s="13" t="s">
        <v>207</v>
      </c>
      <c r="P20" s="115" t="s">
        <v>208</v>
      </c>
      <c r="Q20" s="8"/>
      <c r="R20" s="2">
        <v>1</v>
      </c>
      <c r="S20" s="9">
        <v>450</v>
      </c>
      <c r="T20" s="10">
        <f t="shared" si="5"/>
        <v>225</v>
      </c>
      <c r="U20" s="9">
        <v>20</v>
      </c>
      <c r="V20" s="10">
        <f t="shared" si="6"/>
        <v>205</v>
      </c>
      <c r="W20" s="4" t="s">
        <v>249</v>
      </c>
      <c r="X20" s="2"/>
      <c r="Y20" s="11">
        <v>2</v>
      </c>
      <c r="Z20" s="12">
        <f t="shared" si="7"/>
        <v>0</v>
      </c>
      <c r="AA20" s="4" t="s">
        <v>174</v>
      </c>
      <c r="AC20" s="176">
        <f t="shared" si="12"/>
        <v>1.8181818181818181E-2</v>
      </c>
    </row>
    <row r="21" spans="1:29" customFormat="1">
      <c r="A21" s="181"/>
      <c r="B21" s="183">
        <f t="shared" si="8"/>
        <v>3</v>
      </c>
      <c r="C21" s="107" t="str">
        <f t="shared" si="9"/>
        <v>ATK</v>
      </c>
      <c r="D21" s="2" t="s">
        <v>237</v>
      </c>
      <c r="E21" s="3">
        <v>43825</v>
      </c>
      <c r="F21" s="3">
        <v>43847</v>
      </c>
      <c r="G21" s="108">
        <f t="shared" si="10"/>
        <v>1</v>
      </c>
      <c r="H21" s="108" t="str">
        <f t="shared" si="11"/>
        <v>완료</v>
      </c>
      <c r="I21" s="112" t="s">
        <v>514</v>
      </c>
      <c r="J21" s="4" t="s">
        <v>808</v>
      </c>
      <c r="K21" s="5" t="s">
        <v>209</v>
      </c>
      <c r="L21" s="6" t="str">
        <f t="shared" si="4"/>
        <v>1T2</v>
      </c>
      <c r="M21" s="13" t="s">
        <v>213</v>
      </c>
      <c r="N21" s="7" t="s">
        <v>3494</v>
      </c>
      <c r="O21" s="13" t="s">
        <v>210</v>
      </c>
      <c r="P21" s="115" t="s">
        <v>211</v>
      </c>
      <c r="Q21" s="8"/>
      <c r="R21" s="2">
        <v>1</v>
      </c>
      <c r="S21" s="9">
        <v>55000</v>
      </c>
      <c r="T21" s="10">
        <f t="shared" si="5"/>
        <v>27500</v>
      </c>
      <c r="U21" s="9">
        <v>50</v>
      </c>
      <c r="V21" s="10">
        <f t="shared" si="6"/>
        <v>27450</v>
      </c>
      <c r="W21" s="4" t="s">
        <v>123</v>
      </c>
      <c r="X21" s="2" t="s">
        <v>2211</v>
      </c>
      <c r="Y21" s="11">
        <v>2</v>
      </c>
      <c r="Z21" s="12">
        <f t="shared" si="7"/>
        <v>22</v>
      </c>
      <c r="AA21" s="4" t="s">
        <v>212</v>
      </c>
      <c r="AC21" s="176">
        <f t="shared" si="12"/>
        <v>4.5454545454545456E-2</v>
      </c>
    </row>
    <row r="22" spans="1:29" customFormat="1">
      <c r="A22" s="181"/>
      <c r="B22" s="183">
        <f t="shared" si="8"/>
        <v>2</v>
      </c>
      <c r="C22" s="107" t="str">
        <f t="shared" si="9"/>
        <v>ATK</v>
      </c>
      <c r="D22" s="2" t="s">
        <v>236</v>
      </c>
      <c r="E22" s="3">
        <v>43825</v>
      </c>
      <c r="F22" s="3">
        <v>43837</v>
      </c>
      <c r="G22" s="108">
        <f t="shared" si="10"/>
        <v>1</v>
      </c>
      <c r="H22" s="108" t="str">
        <f t="shared" si="11"/>
        <v>완료</v>
      </c>
      <c r="I22" s="112" t="s">
        <v>218</v>
      </c>
      <c r="J22" s="4"/>
      <c r="K22" s="5" t="s">
        <v>119</v>
      </c>
      <c r="L22" s="6" t="str">
        <f t="shared" si="4"/>
        <v>2T3</v>
      </c>
      <c r="M22" s="13" t="s">
        <v>216</v>
      </c>
      <c r="N22" s="7" t="s">
        <v>3495</v>
      </c>
      <c r="O22" s="13" t="s">
        <v>214</v>
      </c>
      <c r="P22" s="115" t="s">
        <v>215</v>
      </c>
      <c r="Q22" s="8"/>
      <c r="R22" s="2">
        <v>1</v>
      </c>
      <c r="S22" s="9">
        <v>1500</v>
      </c>
      <c r="T22" s="10">
        <f t="shared" si="5"/>
        <v>750</v>
      </c>
      <c r="U22" s="9"/>
      <c r="V22" s="10">
        <f t="shared" si="6"/>
        <v>750</v>
      </c>
      <c r="W22" s="4" t="s">
        <v>249</v>
      </c>
      <c r="X22" s="2"/>
      <c r="Y22" s="11">
        <v>2</v>
      </c>
      <c r="Z22" s="12">
        <f t="shared" si="7"/>
        <v>12</v>
      </c>
      <c r="AA22" s="4" t="s">
        <v>212</v>
      </c>
      <c r="AC22" s="176">
        <f t="shared" si="12"/>
        <v>0</v>
      </c>
    </row>
    <row r="23" spans="1:29" customFormat="1">
      <c r="A23" s="181"/>
      <c r="B23" s="183">
        <f t="shared" si="8"/>
        <v>2</v>
      </c>
      <c r="C23" s="107" t="str">
        <f t="shared" si="9"/>
        <v>ATK</v>
      </c>
      <c r="D23" s="2" t="s">
        <v>236</v>
      </c>
      <c r="E23" s="3">
        <v>43825</v>
      </c>
      <c r="F23" s="3">
        <v>43838</v>
      </c>
      <c r="G23" s="108">
        <f t="shared" si="10"/>
        <v>1</v>
      </c>
      <c r="H23" s="108" t="str">
        <f t="shared" si="11"/>
        <v>완료</v>
      </c>
      <c r="I23" s="112" t="s">
        <v>218</v>
      </c>
      <c r="J23" s="4" t="s">
        <v>118</v>
      </c>
      <c r="K23" s="5" t="s">
        <v>119</v>
      </c>
      <c r="L23" s="6" t="str">
        <f t="shared" si="4"/>
        <v>2T3</v>
      </c>
      <c r="M23" s="13" t="s">
        <v>216</v>
      </c>
      <c r="N23" s="7" t="s">
        <v>3496</v>
      </c>
      <c r="O23" s="13" t="s">
        <v>214</v>
      </c>
      <c r="P23" s="115" t="s">
        <v>294</v>
      </c>
      <c r="Q23" s="8"/>
      <c r="R23" s="2">
        <v>1</v>
      </c>
      <c r="S23" s="9">
        <v>1000</v>
      </c>
      <c r="T23" s="10">
        <f t="shared" si="5"/>
        <v>500</v>
      </c>
      <c r="U23" s="9">
        <v>10</v>
      </c>
      <c r="V23" s="10">
        <f t="shared" si="6"/>
        <v>490</v>
      </c>
      <c r="W23" s="4" t="s">
        <v>122</v>
      </c>
      <c r="X23" s="2"/>
      <c r="Y23" s="11">
        <v>4</v>
      </c>
      <c r="Z23" s="12">
        <f t="shared" si="7"/>
        <v>13</v>
      </c>
      <c r="AA23" s="4" t="s">
        <v>212</v>
      </c>
      <c r="AC23" s="176">
        <f t="shared" si="12"/>
        <v>9.0909090909090905E-3</v>
      </c>
    </row>
    <row r="24" spans="1:29" customFormat="1" ht="24">
      <c r="A24" s="181"/>
      <c r="B24" s="183">
        <f t="shared" si="8"/>
        <v>3</v>
      </c>
      <c r="C24" s="107" t="str">
        <f t="shared" si="9"/>
        <v>ATK</v>
      </c>
      <c r="D24" s="2" t="s">
        <v>241</v>
      </c>
      <c r="E24" s="3">
        <v>43826</v>
      </c>
      <c r="F24" s="3">
        <v>43846</v>
      </c>
      <c r="G24" s="108">
        <f t="shared" si="10"/>
        <v>1</v>
      </c>
      <c r="H24" s="108" t="str">
        <f t="shared" si="11"/>
        <v>완료</v>
      </c>
      <c r="I24" s="112" t="s">
        <v>218</v>
      </c>
      <c r="J24" s="4"/>
      <c r="K24" s="5" t="s">
        <v>136</v>
      </c>
      <c r="L24" s="6" t="str">
        <f t="shared" si="4"/>
        <v>5T1</v>
      </c>
      <c r="M24" s="13" t="s">
        <v>242</v>
      </c>
      <c r="N24" s="7" t="s">
        <v>3497</v>
      </c>
      <c r="O24" s="13" t="s">
        <v>214</v>
      </c>
      <c r="P24" s="115" t="s">
        <v>507</v>
      </c>
      <c r="Q24" s="8"/>
      <c r="R24" s="2">
        <v>3</v>
      </c>
      <c r="S24" s="9">
        <v>1500</v>
      </c>
      <c r="T24" s="10">
        <f t="shared" si="5"/>
        <v>2250</v>
      </c>
      <c r="U24" s="9"/>
      <c r="V24" s="10">
        <f t="shared" si="6"/>
        <v>2250</v>
      </c>
      <c r="W24" s="4" t="s">
        <v>122</v>
      </c>
      <c r="X24" s="2"/>
      <c r="Y24" s="11">
        <v>8</v>
      </c>
      <c r="Z24" s="12">
        <f t="shared" si="7"/>
        <v>20</v>
      </c>
      <c r="AA24" s="4" t="s">
        <v>212</v>
      </c>
      <c r="AC24" s="176">
        <f t="shared" si="12"/>
        <v>0</v>
      </c>
    </row>
    <row r="25" spans="1:29" customFormat="1">
      <c r="A25" s="181"/>
      <c r="B25" s="183">
        <f t="shared" si="8"/>
        <v>1</v>
      </c>
      <c r="C25" s="107" t="str">
        <f t="shared" si="9"/>
        <v>ATK</v>
      </c>
      <c r="D25" s="2" t="s">
        <v>217</v>
      </c>
      <c r="E25" s="3">
        <v>43832</v>
      </c>
      <c r="F25" s="3">
        <v>43832</v>
      </c>
      <c r="G25" s="108">
        <f t="shared" si="10"/>
        <v>1</v>
      </c>
      <c r="H25" s="108" t="str">
        <f t="shared" si="11"/>
        <v>완료</v>
      </c>
      <c r="I25" s="112" t="s">
        <v>218</v>
      </c>
      <c r="J25" s="4" t="s">
        <v>127</v>
      </c>
      <c r="K25" s="5" t="s">
        <v>131</v>
      </c>
      <c r="L25" s="6" t="str">
        <f t="shared" si="4"/>
        <v>1T4</v>
      </c>
      <c r="M25" s="13"/>
      <c r="N25" s="7" t="s">
        <v>3498</v>
      </c>
      <c r="O25" s="13" t="s">
        <v>219</v>
      </c>
      <c r="P25" s="115" t="s">
        <v>220</v>
      </c>
      <c r="Q25" s="8"/>
      <c r="R25" s="2">
        <v>1</v>
      </c>
      <c r="S25" s="9">
        <v>2900</v>
      </c>
      <c r="T25" s="10">
        <f t="shared" si="5"/>
        <v>1450</v>
      </c>
      <c r="U25" s="9">
        <v>160</v>
      </c>
      <c r="V25" s="10">
        <f t="shared" si="6"/>
        <v>1290</v>
      </c>
      <c r="W25" s="4" t="s">
        <v>122</v>
      </c>
      <c r="X25" s="2"/>
      <c r="Y25" s="11">
        <v>4</v>
      </c>
      <c r="Z25" s="12">
        <f t="shared" si="7"/>
        <v>0</v>
      </c>
      <c r="AA25" s="4" t="s">
        <v>117</v>
      </c>
      <c r="AC25" s="176">
        <f t="shared" si="12"/>
        <v>0.14545454545454545</v>
      </c>
    </row>
    <row r="26" spans="1:29" customFormat="1">
      <c r="A26" s="181"/>
      <c r="B26" s="183">
        <f t="shared" si="8"/>
        <v>2</v>
      </c>
      <c r="C26" s="107" t="str">
        <f t="shared" si="9"/>
        <v>ATK</v>
      </c>
      <c r="D26" s="2" t="s">
        <v>221</v>
      </c>
      <c r="E26" s="3">
        <v>43822</v>
      </c>
      <c r="F26" s="3">
        <v>43837</v>
      </c>
      <c r="G26" s="108">
        <f t="shared" si="10"/>
        <v>1</v>
      </c>
      <c r="H26" s="108" t="str">
        <f t="shared" si="11"/>
        <v>완료</v>
      </c>
      <c r="I26" s="112" t="s">
        <v>218</v>
      </c>
      <c r="J26" s="4" t="s">
        <v>234</v>
      </c>
      <c r="K26" s="4" t="s">
        <v>234</v>
      </c>
      <c r="L26" s="6" t="str">
        <f t="shared" si="4"/>
        <v>Bum</v>
      </c>
      <c r="M26" s="13" t="s">
        <v>233</v>
      </c>
      <c r="N26" s="7" t="s">
        <v>3499</v>
      </c>
      <c r="O26" s="13" t="s">
        <v>232</v>
      </c>
      <c r="P26" s="115" t="s">
        <v>235</v>
      </c>
      <c r="Q26" s="8"/>
      <c r="R26" s="2">
        <v>1</v>
      </c>
      <c r="S26" s="9">
        <v>1500</v>
      </c>
      <c r="T26" s="10">
        <f t="shared" si="5"/>
        <v>750</v>
      </c>
      <c r="U26" s="9">
        <v>10</v>
      </c>
      <c r="V26" s="10">
        <f t="shared" si="6"/>
        <v>740</v>
      </c>
      <c r="W26" s="4" t="s">
        <v>122</v>
      </c>
      <c r="X26" s="2"/>
      <c r="Y26" s="11">
        <v>6</v>
      </c>
      <c r="Z26" s="12">
        <f t="shared" si="7"/>
        <v>15</v>
      </c>
      <c r="AA26" s="4" t="s">
        <v>27</v>
      </c>
      <c r="AC26" s="176">
        <f t="shared" si="12"/>
        <v>9.0909090909090905E-3</v>
      </c>
    </row>
    <row r="27" spans="1:29" customFormat="1">
      <c r="A27" s="181"/>
      <c r="B27" s="183">
        <f t="shared" si="8"/>
        <v>1</v>
      </c>
      <c r="C27" s="107" t="str">
        <f t="shared" si="9"/>
        <v>ATK</v>
      </c>
      <c r="D27" s="2" t="s">
        <v>223</v>
      </c>
      <c r="E27" s="3">
        <v>43813</v>
      </c>
      <c r="F27" s="3">
        <v>43832</v>
      </c>
      <c r="G27" s="108">
        <f t="shared" si="10"/>
        <v>1</v>
      </c>
      <c r="H27" s="108" t="str">
        <f t="shared" si="11"/>
        <v>완료</v>
      </c>
      <c r="I27" s="112" t="s">
        <v>218</v>
      </c>
      <c r="J27" s="4" t="s">
        <v>121</v>
      </c>
      <c r="K27" s="5" t="s">
        <v>229</v>
      </c>
      <c r="L27" s="6" t="str">
        <f t="shared" si="4"/>
        <v>5T2</v>
      </c>
      <c r="M27" s="13" t="s">
        <v>226</v>
      </c>
      <c r="N27" s="7" t="s">
        <v>3500</v>
      </c>
      <c r="O27" s="13" t="s">
        <v>228</v>
      </c>
      <c r="P27" s="115" t="s">
        <v>231</v>
      </c>
      <c r="Q27" s="8"/>
      <c r="R27" s="2">
        <v>1</v>
      </c>
      <c r="S27" s="9">
        <v>1500</v>
      </c>
      <c r="T27" s="10">
        <f t="shared" si="5"/>
        <v>750</v>
      </c>
      <c r="U27" s="9">
        <v>150</v>
      </c>
      <c r="V27" s="10">
        <f t="shared" si="6"/>
        <v>600</v>
      </c>
      <c r="W27" s="4" t="s">
        <v>122</v>
      </c>
      <c r="X27" s="2"/>
      <c r="Y27" s="11">
        <v>4</v>
      </c>
      <c r="Z27" s="12">
        <f t="shared" si="7"/>
        <v>19</v>
      </c>
      <c r="AA27" s="4" t="s">
        <v>27</v>
      </c>
      <c r="AC27" s="176">
        <f t="shared" si="12"/>
        <v>0.13636363636363635</v>
      </c>
    </row>
    <row r="28" spans="1:29" customFormat="1">
      <c r="A28" s="181"/>
      <c r="B28" s="183">
        <f t="shared" si="8"/>
        <v>1</v>
      </c>
      <c r="C28" s="107" t="str">
        <f t="shared" si="9"/>
        <v>ATK</v>
      </c>
      <c r="D28" s="2" t="s">
        <v>222</v>
      </c>
      <c r="E28" s="3">
        <v>43832</v>
      </c>
      <c r="F28" s="3">
        <v>43832</v>
      </c>
      <c r="G28" s="108">
        <f t="shared" si="10"/>
        <v>1</v>
      </c>
      <c r="H28" s="108" t="str">
        <f t="shared" si="11"/>
        <v>완료</v>
      </c>
      <c r="I28" s="112" t="s">
        <v>218</v>
      </c>
      <c r="J28" s="4" t="s">
        <v>132</v>
      </c>
      <c r="K28" s="5" t="s">
        <v>133</v>
      </c>
      <c r="L28" s="6" t="str">
        <f t="shared" si="4"/>
        <v>3T3</v>
      </c>
      <c r="M28" s="13" t="s">
        <v>226</v>
      </c>
      <c r="N28" s="7" t="s">
        <v>3484</v>
      </c>
      <c r="O28" s="7" t="s">
        <v>224</v>
      </c>
      <c r="P28" s="115" t="s">
        <v>227</v>
      </c>
      <c r="Q28" s="8"/>
      <c r="R28" s="2">
        <v>1</v>
      </c>
      <c r="S28" s="9">
        <v>2000</v>
      </c>
      <c r="T28" s="10">
        <f t="shared" si="5"/>
        <v>1000</v>
      </c>
      <c r="U28" s="9">
        <v>100</v>
      </c>
      <c r="V28" s="10">
        <f t="shared" si="6"/>
        <v>900</v>
      </c>
      <c r="W28" s="4" t="s">
        <v>122</v>
      </c>
      <c r="X28" s="2"/>
      <c r="Y28" s="11">
        <v>4</v>
      </c>
      <c r="Z28" s="12">
        <f t="shared" si="7"/>
        <v>0</v>
      </c>
      <c r="AA28" s="4" t="s">
        <v>27</v>
      </c>
      <c r="AC28" s="176">
        <f t="shared" si="12"/>
        <v>9.0909090909090912E-2</v>
      </c>
    </row>
    <row r="29" spans="1:29" customFormat="1">
      <c r="A29" s="181"/>
      <c r="B29" s="183">
        <f t="shared" si="8"/>
        <v>1</v>
      </c>
      <c r="C29" s="107" t="str">
        <f t="shared" si="9"/>
        <v>ATK</v>
      </c>
      <c r="D29" s="2" t="s">
        <v>217</v>
      </c>
      <c r="E29" s="3">
        <v>43832</v>
      </c>
      <c r="F29" s="3">
        <v>43832</v>
      </c>
      <c r="G29" s="108">
        <f t="shared" si="10"/>
        <v>1</v>
      </c>
      <c r="H29" s="108" t="str">
        <f t="shared" si="11"/>
        <v>완료</v>
      </c>
      <c r="I29" s="112" t="s">
        <v>218</v>
      </c>
      <c r="J29" s="4" t="s">
        <v>127</v>
      </c>
      <c r="K29" s="5" t="s">
        <v>131</v>
      </c>
      <c r="L29" s="6" t="str">
        <f t="shared" si="4"/>
        <v>1T4</v>
      </c>
      <c r="M29" s="13"/>
      <c r="N29" s="7" t="s">
        <v>3501</v>
      </c>
      <c r="O29" s="13" t="s">
        <v>239</v>
      </c>
      <c r="P29" s="115" t="s">
        <v>240</v>
      </c>
      <c r="Q29" s="8"/>
      <c r="R29" s="2">
        <v>1</v>
      </c>
      <c r="S29" s="9">
        <v>1000</v>
      </c>
      <c r="T29" s="10">
        <f t="shared" si="5"/>
        <v>500</v>
      </c>
      <c r="U29" s="9"/>
      <c r="V29" s="10">
        <f t="shared" si="6"/>
        <v>500</v>
      </c>
      <c r="W29" s="4" t="s">
        <v>122</v>
      </c>
      <c r="X29" s="2"/>
      <c r="Y29" s="11">
        <v>2</v>
      </c>
      <c r="Z29" s="12">
        <f t="shared" si="7"/>
        <v>0</v>
      </c>
      <c r="AA29" s="4" t="s">
        <v>212</v>
      </c>
      <c r="AC29" s="176">
        <f t="shared" si="12"/>
        <v>0</v>
      </c>
    </row>
    <row r="30" spans="1:29" customFormat="1">
      <c r="A30" s="181"/>
      <c r="B30" s="183">
        <f t="shared" si="8"/>
        <v>1</v>
      </c>
      <c r="C30" s="107" t="str">
        <f t="shared" si="9"/>
        <v>ATK</v>
      </c>
      <c r="D30" s="2" t="s">
        <v>278</v>
      </c>
      <c r="E30" s="3">
        <v>43832</v>
      </c>
      <c r="F30" s="3">
        <v>43833</v>
      </c>
      <c r="G30" s="108">
        <f t="shared" si="10"/>
        <v>1</v>
      </c>
      <c r="H30" s="108" t="str">
        <f t="shared" si="11"/>
        <v>완료</v>
      </c>
      <c r="I30" s="112" t="s">
        <v>218</v>
      </c>
      <c r="J30" s="4" t="s">
        <v>243</v>
      </c>
      <c r="K30" s="5"/>
      <c r="L30" s="6" t="str">
        <f t="shared" si="4"/>
        <v/>
      </c>
      <c r="M30" s="13" t="s">
        <v>233</v>
      </c>
      <c r="N30" s="7" t="s">
        <v>3502</v>
      </c>
      <c r="O30" s="13" t="s">
        <v>214</v>
      </c>
      <c r="P30" s="115" t="s">
        <v>208</v>
      </c>
      <c r="Q30" s="8"/>
      <c r="R30" s="2">
        <v>2</v>
      </c>
      <c r="S30" s="9">
        <v>1000</v>
      </c>
      <c r="T30" s="10">
        <f t="shared" si="5"/>
        <v>1000</v>
      </c>
      <c r="U30" s="9"/>
      <c r="V30" s="10">
        <f t="shared" si="6"/>
        <v>1000</v>
      </c>
      <c r="W30" s="4" t="s">
        <v>122</v>
      </c>
      <c r="X30" s="2"/>
      <c r="Y30" s="11">
        <v>8</v>
      </c>
      <c r="Z30" s="12">
        <f t="shared" si="7"/>
        <v>1</v>
      </c>
      <c r="AA30" s="4" t="s">
        <v>212</v>
      </c>
      <c r="AC30" s="176">
        <f t="shared" si="12"/>
        <v>0</v>
      </c>
    </row>
    <row r="31" spans="1:29" customFormat="1">
      <c r="A31" s="181"/>
      <c r="B31" s="183">
        <f t="shared" si="8"/>
        <v>1</v>
      </c>
      <c r="C31" s="107" t="str">
        <f t="shared" si="9"/>
        <v>ATK</v>
      </c>
      <c r="D31" s="2" t="s">
        <v>244</v>
      </c>
      <c r="E31" s="3">
        <v>43832</v>
      </c>
      <c r="F31" s="3">
        <v>43832</v>
      </c>
      <c r="G31" s="108">
        <f t="shared" si="10"/>
        <v>1</v>
      </c>
      <c r="H31" s="108" t="str">
        <f t="shared" si="11"/>
        <v>완료</v>
      </c>
      <c r="I31" s="112" t="s">
        <v>218</v>
      </c>
      <c r="J31" s="4" t="s">
        <v>127</v>
      </c>
      <c r="K31" s="5" t="s">
        <v>128</v>
      </c>
      <c r="L31" s="6" t="str">
        <f t="shared" si="4"/>
        <v>1T1</v>
      </c>
      <c r="M31" s="13" t="s">
        <v>247</v>
      </c>
      <c r="N31" s="7" t="s">
        <v>3503</v>
      </c>
      <c r="O31" s="13" t="s">
        <v>248</v>
      </c>
      <c r="P31" s="115" t="s">
        <v>245</v>
      </c>
      <c r="Q31" s="8" t="s">
        <v>246</v>
      </c>
      <c r="R31" s="2">
        <v>1</v>
      </c>
      <c r="S31" s="9">
        <v>300</v>
      </c>
      <c r="T31" s="10">
        <f t="shared" si="5"/>
        <v>150</v>
      </c>
      <c r="U31" s="9">
        <v>10</v>
      </c>
      <c r="V31" s="10">
        <f t="shared" si="6"/>
        <v>140</v>
      </c>
      <c r="W31" s="4" t="s">
        <v>122</v>
      </c>
      <c r="X31" s="2"/>
      <c r="Y31" s="11">
        <v>4</v>
      </c>
      <c r="Z31" s="12">
        <f t="shared" si="7"/>
        <v>0</v>
      </c>
      <c r="AA31" s="4" t="s">
        <v>120</v>
      </c>
      <c r="AC31" s="176">
        <f t="shared" si="12"/>
        <v>9.0909090909090905E-3</v>
      </c>
    </row>
    <row r="32" spans="1:29" customFormat="1">
      <c r="A32" s="181"/>
      <c r="B32" s="183">
        <f t="shared" si="8"/>
        <v>1</v>
      </c>
      <c r="C32" s="107" t="str">
        <f t="shared" si="9"/>
        <v>ATK</v>
      </c>
      <c r="D32" s="2" t="s">
        <v>250</v>
      </c>
      <c r="E32" s="3">
        <v>43832</v>
      </c>
      <c r="F32" s="3">
        <v>43832</v>
      </c>
      <c r="G32" s="108">
        <f t="shared" si="10"/>
        <v>1</v>
      </c>
      <c r="H32" s="108" t="str">
        <f t="shared" si="11"/>
        <v>Other</v>
      </c>
      <c r="I32" s="112" t="s">
        <v>251</v>
      </c>
      <c r="J32" s="4" t="s">
        <v>31</v>
      </c>
      <c r="K32" s="5" t="s">
        <v>31</v>
      </c>
      <c r="L32" s="6" t="str">
        <f t="shared" si="4"/>
        <v>Oth</v>
      </c>
      <c r="M32" s="13" t="s">
        <v>226</v>
      </c>
      <c r="N32" s="7" t="s">
        <v>3504</v>
      </c>
      <c r="O32" s="13" t="s">
        <v>252</v>
      </c>
      <c r="P32" s="115"/>
      <c r="Q32" s="8"/>
      <c r="R32" s="2">
        <v>1</v>
      </c>
      <c r="S32" s="9">
        <v>0</v>
      </c>
      <c r="T32" s="10">
        <f t="shared" si="5"/>
        <v>0</v>
      </c>
      <c r="U32" s="9">
        <v>0</v>
      </c>
      <c r="V32" s="10">
        <f t="shared" si="6"/>
        <v>0</v>
      </c>
      <c r="W32" s="4" t="s">
        <v>122</v>
      </c>
      <c r="X32" s="2"/>
      <c r="Y32" s="11">
        <v>3</v>
      </c>
      <c r="Z32" s="12">
        <f t="shared" si="7"/>
        <v>0</v>
      </c>
      <c r="AA32" s="4" t="s">
        <v>30</v>
      </c>
      <c r="AC32" s="176">
        <f t="shared" si="12"/>
        <v>0</v>
      </c>
    </row>
    <row r="33" spans="1:29" customFormat="1">
      <c r="A33" s="181"/>
      <c r="B33" s="183">
        <f t="shared" si="8"/>
        <v>1</v>
      </c>
      <c r="C33" s="107" t="str">
        <f t="shared" si="9"/>
        <v>ATK</v>
      </c>
      <c r="D33" s="2" t="s">
        <v>250</v>
      </c>
      <c r="E33" s="3">
        <v>43832</v>
      </c>
      <c r="F33" s="3">
        <v>43832</v>
      </c>
      <c r="G33" s="108">
        <f t="shared" si="10"/>
        <v>1</v>
      </c>
      <c r="H33" s="108" t="str">
        <f t="shared" si="11"/>
        <v>Other</v>
      </c>
      <c r="I33" s="112" t="s">
        <v>251</v>
      </c>
      <c r="J33" s="4" t="s">
        <v>31</v>
      </c>
      <c r="K33" s="5" t="s">
        <v>31</v>
      </c>
      <c r="L33" s="6" t="str">
        <f t="shared" si="4"/>
        <v>Oth</v>
      </c>
      <c r="M33" s="13" t="s">
        <v>226</v>
      </c>
      <c r="N33" s="7" t="s">
        <v>3504</v>
      </c>
      <c r="O33" s="13" t="s">
        <v>252</v>
      </c>
      <c r="P33" s="115"/>
      <c r="Q33" s="8"/>
      <c r="R33" s="2">
        <v>1</v>
      </c>
      <c r="S33" s="9">
        <v>0</v>
      </c>
      <c r="T33" s="10">
        <f t="shared" si="5"/>
        <v>0</v>
      </c>
      <c r="U33" s="9">
        <v>0</v>
      </c>
      <c r="V33" s="10">
        <f t="shared" si="6"/>
        <v>0</v>
      </c>
      <c r="W33" s="4" t="s">
        <v>122</v>
      </c>
      <c r="X33" s="2"/>
      <c r="Y33" s="11">
        <v>3</v>
      </c>
      <c r="Z33" s="12">
        <f t="shared" si="7"/>
        <v>0</v>
      </c>
      <c r="AA33" s="4" t="s">
        <v>27</v>
      </c>
      <c r="AC33" s="176">
        <f t="shared" si="12"/>
        <v>0</v>
      </c>
    </row>
    <row r="34" spans="1:29" customFormat="1">
      <c r="A34" s="181"/>
      <c r="B34" s="183">
        <f t="shared" si="8"/>
        <v>2</v>
      </c>
      <c r="C34" s="107" t="str">
        <f t="shared" si="9"/>
        <v>ATK</v>
      </c>
      <c r="D34" s="2" t="s">
        <v>253</v>
      </c>
      <c r="E34" s="3">
        <v>43832</v>
      </c>
      <c r="F34" s="3">
        <v>43836</v>
      </c>
      <c r="G34" s="108">
        <f t="shared" si="10"/>
        <v>1</v>
      </c>
      <c r="H34" s="108" t="str">
        <f t="shared" si="11"/>
        <v>완료</v>
      </c>
      <c r="I34" s="112" t="s">
        <v>218</v>
      </c>
      <c r="J34" s="4" t="s">
        <v>243</v>
      </c>
      <c r="K34" s="5" t="s">
        <v>243</v>
      </c>
      <c r="L34" s="6" t="str">
        <f t="shared" si="4"/>
        <v>K5</v>
      </c>
      <c r="M34" s="13" t="s">
        <v>233</v>
      </c>
      <c r="N34" s="7" t="s">
        <v>3505</v>
      </c>
      <c r="O34" s="7" t="s">
        <v>157</v>
      </c>
      <c r="P34" s="115" t="s">
        <v>254</v>
      </c>
      <c r="Q34" s="8"/>
      <c r="R34" s="2">
        <v>1</v>
      </c>
      <c r="S34" s="9">
        <v>1000</v>
      </c>
      <c r="T34" s="10">
        <f t="shared" si="5"/>
        <v>500</v>
      </c>
      <c r="U34" s="9"/>
      <c r="V34" s="10">
        <f t="shared" si="6"/>
        <v>500</v>
      </c>
      <c r="W34" s="4" t="s">
        <v>122</v>
      </c>
      <c r="X34" s="2"/>
      <c r="Y34" s="11">
        <v>8</v>
      </c>
      <c r="Z34" s="12">
        <f t="shared" si="7"/>
        <v>4</v>
      </c>
      <c r="AA34" s="4" t="s">
        <v>212</v>
      </c>
      <c r="AC34" s="176">
        <f t="shared" si="12"/>
        <v>0</v>
      </c>
    </row>
    <row r="35" spans="1:29" customFormat="1">
      <c r="A35" s="181"/>
      <c r="B35" s="183">
        <f t="shared" si="8"/>
        <v>1</v>
      </c>
      <c r="C35" s="107" t="str">
        <f t="shared" si="9"/>
        <v>ATK</v>
      </c>
      <c r="D35" s="2" t="s">
        <v>255</v>
      </c>
      <c r="E35" s="3">
        <v>43832</v>
      </c>
      <c r="F35" s="3">
        <v>43832</v>
      </c>
      <c r="G35" s="108">
        <f t="shared" si="10"/>
        <v>1</v>
      </c>
      <c r="H35" s="108" t="str">
        <f t="shared" si="11"/>
        <v>완료</v>
      </c>
      <c r="I35" s="112" t="s">
        <v>218</v>
      </c>
      <c r="J35" s="4" t="s">
        <v>127</v>
      </c>
      <c r="K35" s="5" t="s">
        <v>135</v>
      </c>
      <c r="L35" s="6" t="str">
        <f t="shared" si="4"/>
        <v>1T3</v>
      </c>
      <c r="M35" s="13" t="s">
        <v>256</v>
      </c>
      <c r="N35" s="7" t="s">
        <v>3506</v>
      </c>
      <c r="O35" s="13" t="s">
        <v>257</v>
      </c>
      <c r="P35" s="115"/>
      <c r="Q35" s="8" t="s">
        <v>258</v>
      </c>
      <c r="R35" s="2">
        <v>1</v>
      </c>
      <c r="S35" s="9">
        <v>3500</v>
      </c>
      <c r="T35" s="10">
        <f t="shared" si="5"/>
        <v>1750</v>
      </c>
      <c r="U35" s="9"/>
      <c r="V35" s="10">
        <f t="shared" si="6"/>
        <v>1750</v>
      </c>
      <c r="W35" s="4" t="s">
        <v>122</v>
      </c>
      <c r="X35" s="2"/>
      <c r="Y35" s="11">
        <v>8</v>
      </c>
      <c r="Z35" s="12">
        <f t="shared" si="7"/>
        <v>0</v>
      </c>
      <c r="AA35" s="4" t="s">
        <v>259</v>
      </c>
      <c r="AC35" s="176">
        <f t="shared" si="12"/>
        <v>0</v>
      </c>
    </row>
    <row r="36" spans="1:29" customFormat="1">
      <c r="A36" s="181"/>
      <c r="B36" s="183">
        <f t="shared" si="8"/>
        <v>2</v>
      </c>
      <c r="C36" s="107" t="str">
        <f t="shared" si="9"/>
        <v>ATK</v>
      </c>
      <c r="D36" s="2" t="s">
        <v>262</v>
      </c>
      <c r="E36" s="3">
        <v>43833</v>
      </c>
      <c r="F36" s="3">
        <v>43837</v>
      </c>
      <c r="G36" s="108">
        <f t="shared" si="10"/>
        <v>1</v>
      </c>
      <c r="H36" s="108" t="str">
        <f t="shared" si="11"/>
        <v>완료</v>
      </c>
      <c r="I36" s="112" t="s">
        <v>218</v>
      </c>
      <c r="J36" s="4" t="s">
        <v>115</v>
      </c>
      <c r="K36" s="5" t="s">
        <v>116</v>
      </c>
      <c r="L36" s="6" t="str">
        <f t="shared" si="4"/>
        <v>EE2</v>
      </c>
      <c r="M36" s="13" t="s">
        <v>260</v>
      </c>
      <c r="N36" s="7" t="s">
        <v>3507</v>
      </c>
      <c r="O36" s="13" t="s">
        <v>261</v>
      </c>
      <c r="P36" s="115"/>
      <c r="Q36" s="8"/>
      <c r="R36" s="2">
        <v>2</v>
      </c>
      <c r="S36" s="9">
        <v>6000</v>
      </c>
      <c r="T36" s="10">
        <f t="shared" si="5"/>
        <v>6000</v>
      </c>
      <c r="U36" s="9">
        <v>10</v>
      </c>
      <c r="V36" s="10">
        <f t="shared" si="6"/>
        <v>5990</v>
      </c>
      <c r="W36" s="4" t="s">
        <v>122</v>
      </c>
      <c r="X36" s="2"/>
      <c r="Y36" s="11">
        <v>8</v>
      </c>
      <c r="Z36" s="12">
        <f t="shared" si="7"/>
        <v>4</v>
      </c>
      <c r="AA36" s="4" t="s">
        <v>27</v>
      </c>
      <c r="AC36" s="176">
        <f t="shared" si="12"/>
        <v>9.0909090909090905E-3</v>
      </c>
    </row>
    <row r="37" spans="1:29" customFormat="1">
      <c r="A37" s="181"/>
      <c r="B37" s="183">
        <f t="shared" si="8"/>
        <v>1</v>
      </c>
      <c r="C37" s="107" t="str">
        <f t="shared" si="9"/>
        <v>ATK</v>
      </c>
      <c r="D37" s="2" t="s">
        <v>263</v>
      </c>
      <c r="E37" s="3">
        <v>43833</v>
      </c>
      <c r="F37" s="3">
        <v>43833</v>
      </c>
      <c r="G37" s="108">
        <f t="shared" si="10"/>
        <v>1</v>
      </c>
      <c r="H37" s="108" t="str">
        <f t="shared" si="11"/>
        <v>완료</v>
      </c>
      <c r="I37" s="112" t="s">
        <v>264</v>
      </c>
      <c r="J37" s="4" t="s">
        <v>265</v>
      </c>
      <c r="K37" s="5" t="s">
        <v>266</v>
      </c>
      <c r="L37" s="6" t="str">
        <f t="shared" si="4"/>
        <v>3T4</v>
      </c>
      <c r="M37" s="13" t="s">
        <v>216</v>
      </c>
      <c r="N37" s="7" t="s">
        <v>3508</v>
      </c>
      <c r="O37" s="13" t="s">
        <v>226</v>
      </c>
      <c r="P37" s="115" t="s">
        <v>267</v>
      </c>
      <c r="Q37" s="8"/>
      <c r="R37" s="2">
        <v>1</v>
      </c>
      <c r="S37" s="9">
        <v>700</v>
      </c>
      <c r="T37" s="10">
        <f t="shared" si="5"/>
        <v>350</v>
      </c>
      <c r="U37" s="9">
        <v>0</v>
      </c>
      <c r="V37" s="10">
        <f t="shared" si="6"/>
        <v>350</v>
      </c>
      <c r="W37" s="4" t="s">
        <v>249</v>
      </c>
      <c r="X37" s="2"/>
      <c r="Y37" s="11">
        <v>2</v>
      </c>
      <c r="Z37" s="12">
        <f t="shared" si="7"/>
        <v>0</v>
      </c>
      <c r="AA37" s="4" t="s">
        <v>174</v>
      </c>
      <c r="AC37" s="176">
        <f t="shared" si="12"/>
        <v>0</v>
      </c>
    </row>
    <row r="38" spans="1:29" customFormat="1">
      <c r="A38" s="181"/>
      <c r="B38" s="183">
        <f t="shared" si="8"/>
        <v>1</v>
      </c>
      <c r="C38" s="107" t="str">
        <f t="shared" si="9"/>
        <v>ATK</v>
      </c>
      <c r="D38" s="2" t="s">
        <v>236</v>
      </c>
      <c r="E38" s="3">
        <v>43833</v>
      </c>
      <c r="F38" s="3">
        <v>43833</v>
      </c>
      <c r="G38" s="108">
        <f t="shared" si="10"/>
        <v>1</v>
      </c>
      <c r="H38" s="108" t="str">
        <f t="shared" si="11"/>
        <v>완료</v>
      </c>
      <c r="I38" s="112" t="s">
        <v>218</v>
      </c>
      <c r="J38" s="4" t="s">
        <v>118</v>
      </c>
      <c r="K38" s="5" t="s">
        <v>119</v>
      </c>
      <c r="L38" s="6" t="str">
        <f t="shared" si="4"/>
        <v>2T3</v>
      </c>
      <c r="M38" s="13"/>
      <c r="N38" s="7" t="s">
        <v>3509</v>
      </c>
      <c r="O38" s="13" t="s">
        <v>268</v>
      </c>
      <c r="P38" s="115"/>
      <c r="Q38" s="8"/>
      <c r="R38" s="2">
        <v>2</v>
      </c>
      <c r="S38" s="9">
        <v>1500</v>
      </c>
      <c r="T38" s="10">
        <f t="shared" si="5"/>
        <v>1500</v>
      </c>
      <c r="U38" s="9"/>
      <c r="V38" s="10">
        <f t="shared" si="6"/>
        <v>1500</v>
      </c>
      <c r="W38" s="4" t="s">
        <v>122</v>
      </c>
      <c r="X38" s="2"/>
      <c r="Y38" s="11">
        <v>8</v>
      </c>
      <c r="Z38" s="12">
        <f t="shared" si="7"/>
        <v>0</v>
      </c>
      <c r="AA38" s="4" t="s">
        <v>259</v>
      </c>
      <c r="AC38" s="176">
        <f t="shared" si="12"/>
        <v>0</v>
      </c>
    </row>
    <row r="39" spans="1:29" customFormat="1">
      <c r="A39" s="181"/>
      <c r="B39" s="183">
        <f t="shared" si="8"/>
        <v>2</v>
      </c>
      <c r="C39" s="107" t="str">
        <f t="shared" si="9"/>
        <v>ATK</v>
      </c>
      <c r="D39" s="2" t="s">
        <v>269</v>
      </c>
      <c r="E39" s="3">
        <v>43833</v>
      </c>
      <c r="F39" s="3">
        <v>43837</v>
      </c>
      <c r="G39" s="108">
        <f t="shared" si="10"/>
        <v>1</v>
      </c>
      <c r="H39" s="108" t="str">
        <f t="shared" si="11"/>
        <v>완료</v>
      </c>
      <c r="I39" s="112" t="s">
        <v>218</v>
      </c>
      <c r="J39" s="4" t="s">
        <v>121</v>
      </c>
      <c r="K39" s="5" t="s">
        <v>136</v>
      </c>
      <c r="L39" s="6" t="str">
        <f t="shared" si="4"/>
        <v>5T1</v>
      </c>
      <c r="M39" s="13" t="s">
        <v>270</v>
      </c>
      <c r="N39" s="13" t="s">
        <v>3510</v>
      </c>
      <c r="O39" s="7" t="s">
        <v>270</v>
      </c>
      <c r="P39" s="115" t="s">
        <v>271</v>
      </c>
      <c r="Q39" s="8"/>
      <c r="R39" s="2">
        <v>1</v>
      </c>
      <c r="S39" s="9">
        <v>1892</v>
      </c>
      <c r="T39" s="10">
        <f t="shared" si="5"/>
        <v>946</v>
      </c>
      <c r="U39" s="9">
        <v>10</v>
      </c>
      <c r="V39" s="10">
        <f t="shared" si="6"/>
        <v>936</v>
      </c>
      <c r="W39" s="4" t="s">
        <v>122</v>
      </c>
      <c r="X39" s="2"/>
      <c r="Y39" s="11">
        <v>2</v>
      </c>
      <c r="Z39" s="12">
        <f t="shared" si="7"/>
        <v>4</v>
      </c>
      <c r="AA39" s="4" t="s">
        <v>44</v>
      </c>
      <c r="AC39" s="176">
        <f t="shared" si="12"/>
        <v>9.0909090909090905E-3</v>
      </c>
    </row>
    <row r="40" spans="1:29" customFormat="1">
      <c r="A40" s="181"/>
      <c r="B40" s="183">
        <f t="shared" si="8"/>
        <v>2</v>
      </c>
      <c r="C40" s="107" t="str">
        <f t="shared" si="9"/>
        <v>ATK</v>
      </c>
      <c r="D40" s="2" t="s">
        <v>272</v>
      </c>
      <c r="E40" s="3">
        <v>43832</v>
      </c>
      <c r="F40" s="3">
        <v>43836</v>
      </c>
      <c r="G40" s="108">
        <f t="shared" si="10"/>
        <v>1</v>
      </c>
      <c r="H40" s="108" t="str">
        <f t="shared" si="11"/>
        <v>완료</v>
      </c>
      <c r="I40" s="112" t="s">
        <v>218</v>
      </c>
      <c r="J40" s="4" t="s">
        <v>132</v>
      </c>
      <c r="K40" s="5" t="s">
        <v>133</v>
      </c>
      <c r="L40" s="6" t="str">
        <f t="shared" si="4"/>
        <v>3T3</v>
      </c>
      <c r="M40" s="13"/>
      <c r="N40" s="7"/>
      <c r="O40" s="7" t="s">
        <v>277</v>
      </c>
      <c r="P40" s="115"/>
      <c r="Q40" s="8"/>
      <c r="R40" s="2">
        <v>2</v>
      </c>
      <c r="S40" s="9">
        <v>600</v>
      </c>
      <c r="T40" s="10">
        <f t="shared" si="5"/>
        <v>600</v>
      </c>
      <c r="U40" s="9">
        <v>12</v>
      </c>
      <c r="V40" s="10">
        <f t="shared" si="6"/>
        <v>588</v>
      </c>
      <c r="W40" s="4" t="s">
        <v>122</v>
      </c>
      <c r="X40" s="2"/>
      <c r="Y40" s="11">
        <v>1</v>
      </c>
      <c r="Z40" s="12">
        <f t="shared" si="7"/>
        <v>4</v>
      </c>
      <c r="AA40" s="4" t="s">
        <v>117</v>
      </c>
      <c r="AC40" s="176">
        <f t="shared" si="12"/>
        <v>1.090909090909091E-2</v>
      </c>
    </row>
    <row r="41" spans="1:29" customFormat="1">
      <c r="A41" s="181"/>
      <c r="B41" s="183">
        <f t="shared" si="8"/>
        <v>2</v>
      </c>
      <c r="C41" s="107" t="str">
        <f t="shared" si="9"/>
        <v>ATK</v>
      </c>
      <c r="D41" s="2" t="s">
        <v>273</v>
      </c>
      <c r="E41" s="3">
        <v>43833</v>
      </c>
      <c r="F41" s="3">
        <v>43836</v>
      </c>
      <c r="G41" s="108">
        <f t="shared" si="10"/>
        <v>1</v>
      </c>
      <c r="H41" s="108" t="str">
        <f t="shared" si="11"/>
        <v>완료</v>
      </c>
      <c r="I41" s="112" t="s">
        <v>218</v>
      </c>
      <c r="J41" s="4" t="s">
        <v>132</v>
      </c>
      <c r="K41" s="5" t="s">
        <v>133</v>
      </c>
      <c r="L41" s="6" t="str">
        <f t="shared" si="4"/>
        <v>3T3</v>
      </c>
      <c r="M41" s="13" t="s">
        <v>276</v>
      </c>
      <c r="N41" s="7" t="s">
        <v>3511</v>
      </c>
      <c r="O41" s="13" t="s">
        <v>287</v>
      </c>
      <c r="P41" s="115"/>
      <c r="Q41" s="8"/>
      <c r="R41" s="2">
        <v>1</v>
      </c>
      <c r="S41" s="9">
        <v>1200</v>
      </c>
      <c r="T41" s="10">
        <f t="shared" si="5"/>
        <v>600</v>
      </c>
      <c r="U41" s="9">
        <v>4</v>
      </c>
      <c r="V41" s="10">
        <f t="shared" si="6"/>
        <v>596</v>
      </c>
      <c r="W41" s="4" t="s">
        <v>122</v>
      </c>
      <c r="X41" s="2"/>
      <c r="Y41" s="11">
        <v>1</v>
      </c>
      <c r="Z41" s="12">
        <f t="shared" si="7"/>
        <v>3</v>
      </c>
      <c r="AA41" s="4" t="s">
        <v>117</v>
      </c>
      <c r="AC41" s="176">
        <f t="shared" si="12"/>
        <v>3.6363636363636364E-3</v>
      </c>
    </row>
    <row r="42" spans="1:29" customFormat="1">
      <c r="A42" s="181"/>
      <c r="B42" s="183">
        <f t="shared" si="8"/>
        <v>2</v>
      </c>
      <c r="C42" s="107" t="str">
        <f t="shared" si="9"/>
        <v>ATK</v>
      </c>
      <c r="D42" s="2" t="s">
        <v>274</v>
      </c>
      <c r="E42" s="3">
        <v>43833</v>
      </c>
      <c r="F42" s="3">
        <v>43838</v>
      </c>
      <c r="G42" s="108">
        <f t="shared" si="10"/>
        <v>1</v>
      </c>
      <c r="H42" s="108" t="str">
        <f t="shared" si="11"/>
        <v>완료</v>
      </c>
      <c r="I42" s="112" t="s">
        <v>218</v>
      </c>
      <c r="J42" s="4" t="s">
        <v>132</v>
      </c>
      <c r="K42" s="5" t="s">
        <v>143</v>
      </c>
      <c r="L42" s="6" t="str">
        <f t="shared" si="4"/>
        <v>3T4</v>
      </c>
      <c r="M42" s="13" t="s">
        <v>158</v>
      </c>
      <c r="N42" s="7" t="s">
        <v>3500</v>
      </c>
      <c r="O42" s="13" t="s">
        <v>275</v>
      </c>
      <c r="P42" s="115"/>
      <c r="Q42" s="8"/>
      <c r="R42" s="2">
        <v>1</v>
      </c>
      <c r="S42" s="9">
        <v>1200</v>
      </c>
      <c r="T42" s="10">
        <f t="shared" si="5"/>
        <v>600</v>
      </c>
      <c r="U42" s="9">
        <v>200</v>
      </c>
      <c r="V42" s="10">
        <f t="shared" si="6"/>
        <v>400</v>
      </c>
      <c r="W42" s="4" t="s">
        <v>249</v>
      </c>
      <c r="X42" s="2"/>
      <c r="Y42" s="11">
        <v>2</v>
      </c>
      <c r="Z42" s="12">
        <f t="shared" si="7"/>
        <v>5</v>
      </c>
      <c r="AA42" s="4" t="s">
        <v>174</v>
      </c>
      <c r="AC42" s="176">
        <f t="shared" si="12"/>
        <v>0.18181818181818182</v>
      </c>
    </row>
    <row r="43" spans="1:29" customFormat="1">
      <c r="A43" s="181"/>
      <c r="B43" s="183">
        <f t="shared" si="8"/>
        <v>2</v>
      </c>
      <c r="C43" s="107" t="str">
        <f t="shared" si="9"/>
        <v>ATK</v>
      </c>
      <c r="D43" s="2" t="s">
        <v>255</v>
      </c>
      <c r="E43" s="3">
        <v>43836</v>
      </c>
      <c r="F43" s="3">
        <v>43838</v>
      </c>
      <c r="G43" s="108">
        <f t="shared" si="10"/>
        <v>1</v>
      </c>
      <c r="H43" s="108" t="str">
        <f t="shared" si="11"/>
        <v>완료</v>
      </c>
      <c r="I43" s="112" t="s">
        <v>218</v>
      </c>
      <c r="J43" s="4" t="s">
        <v>127</v>
      </c>
      <c r="K43" s="5" t="s">
        <v>135</v>
      </c>
      <c r="L43" s="6" t="str">
        <f t="shared" si="4"/>
        <v>1T3</v>
      </c>
      <c r="M43" s="13" t="s">
        <v>256</v>
      </c>
      <c r="N43" s="7" t="s">
        <v>3506</v>
      </c>
      <c r="O43" s="13" t="s">
        <v>478</v>
      </c>
      <c r="P43" s="115" t="s">
        <v>279</v>
      </c>
      <c r="Q43" s="8"/>
      <c r="R43" s="2">
        <v>1</v>
      </c>
      <c r="S43" s="9">
        <v>1600</v>
      </c>
      <c r="T43" s="10">
        <f t="shared" si="5"/>
        <v>800</v>
      </c>
      <c r="U43" s="9">
        <v>25</v>
      </c>
      <c r="V43" s="10">
        <f t="shared" si="6"/>
        <v>775</v>
      </c>
      <c r="W43" s="4" t="s">
        <v>249</v>
      </c>
      <c r="X43" s="2"/>
      <c r="Y43" s="11">
        <v>3</v>
      </c>
      <c r="Z43" s="12">
        <f t="shared" si="7"/>
        <v>2</v>
      </c>
      <c r="AA43" s="4" t="s">
        <v>174</v>
      </c>
      <c r="AC43" s="176">
        <f t="shared" si="12"/>
        <v>2.2727272727272728E-2</v>
      </c>
    </row>
    <row r="44" spans="1:29" customFormat="1">
      <c r="A44" s="181"/>
      <c r="B44" s="183">
        <f t="shared" si="8"/>
        <v>5</v>
      </c>
      <c r="C44" s="107" t="str">
        <f t="shared" si="9"/>
        <v>ATK</v>
      </c>
      <c r="D44" s="2" t="s">
        <v>280</v>
      </c>
      <c r="E44" s="3">
        <v>43836</v>
      </c>
      <c r="F44" s="3">
        <v>43859</v>
      </c>
      <c r="G44" s="108">
        <f t="shared" si="10"/>
        <v>1</v>
      </c>
      <c r="H44" s="108" t="str">
        <f t="shared" si="11"/>
        <v>완료</v>
      </c>
      <c r="I44" s="112" t="s">
        <v>218</v>
      </c>
      <c r="J44" s="4" t="s">
        <v>281</v>
      </c>
      <c r="K44" s="5" t="s">
        <v>282</v>
      </c>
      <c r="L44" s="6" t="str">
        <f t="shared" si="4"/>
        <v>EE1</v>
      </c>
      <c r="M44" s="13" t="s">
        <v>283</v>
      </c>
      <c r="N44" s="13" t="s">
        <v>3512</v>
      </c>
      <c r="O44" s="7" t="s">
        <v>284</v>
      </c>
      <c r="P44" s="115" t="s">
        <v>285</v>
      </c>
      <c r="Q44" s="8"/>
      <c r="R44" s="2">
        <v>1</v>
      </c>
      <c r="S44" s="9">
        <v>1200</v>
      </c>
      <c r="T44" s="10">
        <f t="shared" si="5"/>
        <v>600</v>
      </c>
      <c r="U44" s="9"/>
      <c r="V44" s="10">
        <f t="shared" si="6"/>
        <v>600</v>
      </c>
      <c r="W44" s="4" t="s">
        <v>122</v>
      </c>
      <c r="X44" s="2"/>
      <c r="Y44" s="11"/>
      <c r="Z44" s="12">
        <f t="shared" si="7"/>
        <v>23</v>
      </c>
      <c r="AA44" s="4" t="s">
        <v>212</v>
      </c>
      <c r="AC44" s="176">
        <f t="shared" si="12"/>
        <v>0</v>
      </c>
    </row>
    <row r="45" spans="1:29" customFormat="1">
      <c r="A45" s="181"/>
      <c r="B45" s="183">
        <f t="shared" si="8"/>
        <v>2</v>
      </c>
      <c r="C45" s="107" t="str">
        <f t="shared" si="9"/>
        <v>ATK</v>
      </c>
      <c r="D45" s="2" t="s">
        <v>288</v>
      </c>
      <c r="E45" s="3">
        <v>43836</v>
      </c>
      <c r="F45" s="3">
        <v>43836</v>
      </c>
      <c r="G45" s="108">
        <f t="shared" si="10"/>
        <v>1</v>
      </c>
      <c r="H45" s="108" t="str">
        <f t="shared" si="11"/>
        <v>완료</v>
      </c>
      <c r="I45" s="112" t="s">
        <v>218</v>
      </c>
      <c r="J45" s="4" t="s">
        <v>243</v>
      </c>
      <c r="K45" s="5" t="s">
        <v>243</v>
      </c>
      <c r="L45" s="6" t="str">
        <f t="shared" si="4"/>
        <v>K5</v>
      </c>
      <c r="M45" s="13" t="s">
        <v>289</v>
      </c>
      <c r="N45" s="7" t="s">
        <v>3513</v>
      </c>
      <c r="O45" s="13" t="s">
        <v>290</v>
      </c>
      <c r="P45" s="115"/>
      <c r="Q45" s="8"/>
      <c r="R45" s="2">
        <v>1</v>
      </c>
      <c r="S45" s="9">
        <v>1500</v>
      </c>
      <c r="T45" s="10">
        <f t="shared" si="5"/>
        <v>750</v>
      </c>
      <c r="U45" s="9">
        <v>0</v>
      </c>
      <c r="V45" s="10">
        <f t="shared" si="6"/>
        <v>750</v>
      </c>
      <c r="W45" s="4" t="s">
        <v>122</v>
      </c>
      <c r="X45" s="2"/>
      <c r="Y45" s="11">
        <v>1</v>
      </c>
      <c r="Z45" s="12">
        <f t="shared" si="7"/>
        <v>0</v>
      </c>
      <c r="AA45" s="4" t="s">
        <v>117</v>
      </c>
      <c r="AC45" s="176">
        <f t="shared" si="12"/>
        <v>0</v>
      </c>
    </row>
    <row r="46" spans="1:29" customFormat="1">
      <c r="A46" s="181"/>
      <c r="B46" s="183">
        <f t="shared" si="8"/>
        <v>2</v>
      </c>
      <c r="C46" s="107" t="str">
        <f t="shared" si="9"/>
        <v>ATK</v>
      </c>
      <c r="D46" s="2" t="s">
        <v>291</v>
      </c>
      <c r="E46" s="3">
        <v>43836</v>
      </c>
      <c r="F46" s="3">
        <v>43836</v>
      </c>
      <c r="G46" s="108">
        <f t="shared" si="10"/>
        <v>1</v>
      </c>
      <c r="H46" s="108" t="str">
        <f t="shared" si="11"/>
        <v>완료</v>
      </c>
      <c r="I46" s="112" t="s">
        <v>218</v>
      </c>
      <c r="J46" s="4" t="s">
        <v>132</v>
      </c>
      <c r="K46" s="5" t="s">
        <v>133</v>
      </c>
      <c r="L46" s="6" t="str">
        <f t="shared" si="4"/>
        <v>3T3</v>
      </c>
      <c r="M46" s="13"/>
      <c r="N46" s="7" t="s">
        <v>3514</v>
      </c>
      <c r="O46" s="13" t="s">
        <v>293</v>
      </c>
      <c r="P46" s="115"/>
      <c r="Q46" s="8"/>
      <c r="R46" s="2">
        <v>3</v>
      </c>
      <c r="S46" s="9">
        <v>400</v>
      </c>
      <c r="T46" s="10">
        <f t="shared" si="5"/>
        <v>600</v>
      </c>
      <c r="U46" s="9">
        <v>3</v>
      </c>
      <c r="V46" s="10">
        <f t="shared" si="6"/>
        <v>597</v>
      </c>
      <c r="W46" s="4" t="s">
        <v>122</v>
      </c>
      <c r="X46" s="2"/>
      <c r="Y46" s="11">
        <v>1</v>
      </c>
      <c r="Z46" s="12">
        <f t="shared" si="7"/>
        <v>0</v>
      </c>
      <c r="AA46" s="4" t="s">
        <v>117</v>
      </c>
      <c r="AC46" s="176">
        <f t="shared" si="12"/>
        <v>2.7272727272727275E-3</v>
      </c>
    </row>
    <row r="47" spans="1:29" customFormat="1">
      <c r="A47" s="181"/>
      <c r="B47" s="183">
        <f t="shared" si="8"/>
        <v>2</v>
      </c>
      <c r="C47" s="107" t="str">
        <f t="shared" si="9"/>
        <v>ATK</v>
      </c>
      <c r="D47" s="2" t="s">
        <v>295</v>
      </c>
      <c r="E47" s="3">
        <v>43836</v>
      </c>
      <c r="F47" s="3">
        <v>43836</v>
      </c>
      <c r="G47" s="108">
        <f t="shared" si="10"/>
        <v>1</v>
      </c>
      <c r="H47" s="108" t="str">
        <f t="shared" si="11"/>
        <v>완료</v>
      </c>
      <c r="I47" s="112" t="s">
        <v>218</v>
      </c>
      <c r="J47" s="4" t="s">
        <v>132</v>
      </c>
      <c r="K47" s="5" t="s">
        <v>133</v>
      </c>
      <c r="L47" s="6" t="str">
        <f t="shared" si="4"/>
        <v>3T3</v>
      </c>
      <c r="M47" s="13" t="s">
        <v>296</v>
      </c>
      <c r="N47" s="7" t="s">
        <v>157</v>
      </c>
      <c r="O47" s="13" t="s">
        <v>297</v>
      </c>
      <c r="P47" s="115"/>
      <c r="Q47" s="8"/>
      <c r="R47" s="2">
        <v>1</v>
      </c>
      <c r="S47" s="9">
        <v>1500</v>
      </c>
      <c r="T47" s="10">
        <f t="shared" si="5"/>
        <v>750</v>
      </c>
      <c r="U47" s="9">
        <v>15</v>
      </c>
      <c r="V47" s="10">
        <f t="shared" si="6"/>
        <v>735</v>
      </c>
      <c r="W47" s="4" t="s">
        <v>122</v>
      </c>
      <c r="X47" s="2"/>
      <c r="Y47" s="11">
        <v>1</v>
      </c>
      <c r="Z47" s="12">
        <f t="shared" si="7"/>
        <v>0</v>
      </c>
      <c r="AA47" s="4" t="s">
        <v>117</v>
      </c>
      <c r="AC47" s="176">
        <f t="shared" si="12"/>
        <v>1.3636363636363636E-2</v>
      </c>
    </row>
    <row r="48" spans="1:29" customFormat="1">
      <c r="A48" s="181"/>
      <c r="B48" s="183">
        <f t="shared" si="8"/>
        <v>9</v>
      </c>
      <c r="C48" s="107" t="str">
        <f t="shared" si="9"/>
        <v>ATK</v>
      </c>
      <c r="D48" s="2" t="s">
        <v>222</v>
      </c>
      <c r="E48" s="3">
        <v>43836</v>
      </c>
      <c r="F48" s="3">
        <v>43885</v>
      </c>
      <c r="G48" s="108">
        <f t="shared" si="10"/>
        <v>2</v>
      </c>
      <c r="H48" s="108" t="str">
        <f t="shared" si="11"/>
        <v>완료</v>
      </c>
      <c r="I48" s="112" t="s">
        <v>264</v>
      </c>
      <c r="J48" s="4" t="s">
        <v>265</v>
      </c>
      <c r="K48" s="5" t="s">
        <v>298</v>
      </c>
      <c r="L48" s="6" t="str">
        <f t="shared" si="4"/>
        <v>3T1</v>
      </c>
      <c r="M48" s="13" t="s">
        <v>299</v>
      </c>
      <c r="N48" s="7" t="s">
        <v>197</v>
      </c>
      <c r="O48" s="13" t="s">
        <v>270</v>
      </c>
      <c r="P48" s="115" t="s">
        <v>300</v>
      </c>
      <c r="Q48" s="8" t="s">
        <v>301</v>
      </c>
      <c r="R48" s="2">
        <v>1</v>
      </c>
      <c r="S48" s="9">
        <v>710</v>
      </c>
      <c r="T48" s="10">
        <f t="shared" si="5"/>
        <v>355</v>
      </c>
      <c r="U48" s="9">
        <v>0</v>
      </c>
      <c r="V48" s="10">
        <f t="shared" si="6"/>
        <v>355</v>
      </c>
      <c r="W48" s="4" t="s">
        <v>122</v>
      </c>
      <c r="X48" s="2"/>
      <c r="Y48" s="11">
        <v>2</v>
      </c>
      <c r="Z48" s="12">
        <f t="shared" si="7"/>
        <v>49</v>
      </c>
      <c r="AA48" s="4" t="s">
        <v>175</v>
      </c>
      <c r="AC48" s="176">
        <f t="shared" si="12"/>
        <v>0</v>
      </c>
    </row>
    <row r="49" spans="1:29" customFormat="1">
      <c r="A49" s="181"/>
      <c r="B49" s="183">
        <f t="shared" si="8"/>
        <v>2</v>
      </c>
      <c r="C49" s="107" t="str">
        <f t="shared" si="9"/>
        <v>ATK</v>
      </c>
      <c r="D49" s="2" t="s">
        <v>302</v>
      </c>
      <c r="E49" s="3">
        <v>43836</v>
      </c>
      <c r="F49" s="3">
        <v>43836</v>
      </c>
      <c r="G49" s="108">
        <f t="shared" si="10"/>
        <v>1</v>
      </c>
      <c r="H49" s="108" t="str">
        <f t="shared" si="11"/>
        <v>완료</v>
      </c>
      <c r="I49" s="112" t="s">
        <v>264</v>
      </c>
      <c r="J49" s="4" t="s">
        <v>173</v>
      </c>
      <c r="K49" s="5" t="s">
        <v>128</v>
      </c>
      <c r="L49" s="6" t="str">
        <f t="shared" si="4"/>
        <v>1T1</v>
      </c>
      <c r="M49" s="13" t="s">
        <v>299</v>
      </c>
      <c r="N49" s="7" t="s">
        <v>3515</v>
      </c>
      <c r="O49" s="13" t="s">
        <v>270</v>
      </c>
      <c r="P49" s="115" t="s">
        <v>271</v>
      </c>
      <c r="Q49" s="8" t="s">
        <v>304</v>
      </c>
      <c r="R49" s="2">
        <v>1</v>
      </c>
      <c r="S49" s="9">
        <v>700</v>
      </c>
      <c r="T49" s="10">
        <f t="shared" si="5"/>
        <v>350</v>
      </c>
      <c r="U49" s="9">
        <v>0</v>
      </c>
      <c r="V49" s="10">
        <f t="shared" si="6"/>
        <v>350</v>
      </c>
      <c r="W49" s="4" t="s">
        <v>249</v>
      </c>
      <c r="X49" s="2"/>
      <c r="Y49" s="11">
        <v>2</v>
      </c>
      <c r="Z49" s="12">
        <f t="shared" si="7"/>
        <v>0</v>
      </c>
      <c r="AA49" s="4" t="s">
        <v>174</v>
      </c>
      <c r="AC49" s="176">
        <f t="shared" si="12"/>
        <v>0</v>
      </c>
    </row>
    <row r="50" spans="1:29" customFormat="1">
      <c r="A50" s="181"/>
      <c r="B50" s="183">
        <f t="shared" si="8"/>
        <v>2</v>
      </c>
      <c r="C50" s="107" t="str">
        <f t="shared" si="9"/>
        <v>ATK</v>
      </c>
      <c r="D50" s="2" t="s">
        <v>307</v>
      </c>
      <c r="E50" s="3">
        <v>43836</v>
      </c>
      <c r="F50" s="3">
        <v>43838</v>
      </c>
      <c r="G50" s="108">
        <f t="shared" si="10"/>
        <v>1</v>
      </c>
      <c r="H50" s="108" t="str">
        <f t="shared" si="11"/>
        <v>완료</v>
      </c>
      <c r="I50" s="112" t="s">
        <v>218</v>
      </c>
      <c r="J50" s="4" t="s">
        <v>139</v>
      </c>
      <c r="K50" s="5" t="s">
        <v>209</v>
      </c>
      <c r="L50" s="6" t="str">
        <f t="shared" si="4"/>
        <v>1T2</v>
      </c>
      <c r="M50" s="13" t="s">
        <v>308</v>
      </c>
      <c r="N50" s="7" t="s">
        <v>3509</v>
      </c>
      <c r="O50" s="13" t="s">
        <v>268</v>
      </c>
      <c r="P50" s="115" t="s">
        <v>309</v>
      </c>
      <c r="Q50" s="8"/>
      <c r="R50" s="2">
        <v>2</v>
      </c>
      <c r="S50" s="9">
        <v>1000</v>
      </c>
      <c r="T50" s="10">
        <f t="shared" si="5"/>
        <v>1000</v>
      </c>
      <c r="U50" s="9">
        <v>20</v>
      </c>
      <c r="V50" s="10">
        <f t="shared" si="6"/>
        <v>980</v>
      </c>
      <c r="W50" s="4" t="s">
        <v>122</v>
      </c>
      <c r="X50" s="2"/>
      <c r="Y50" s="11">
        <v>2</v>
      </c>
      <c r="Z50" s="12">
        <f t="shared" si="7"/>
        <v>2</v>
      </c>
      <c r="AA50" s="4" t="s">
        <v>212</v>
      </c>
      <c r="AC50" s="176">
        <f t="shared" si="12"/>
        <v>1.8181818181818181E-2</v>
      </c>
    </row>
    <row r="51" spans="1:29" customFormat="1">
      <c r="A51" s="181"/>
      <c r="B51" s="183">
        <f t="shared" si="8"/>
        <v>7</v>
      </c>
      <c r="C51" s="107" t="str">
        <f t="shared" si="9"/>
        <v>ATK</v>
      </c>
      <c r="D51" s="2" t="s">
        <v>255</v>
      </c>
      <c r="E51" s="3">
        <v>43836</v>
      </c>
      <c r="F51" s="3">
        <v>43874</v>
      </c>
      <c r="G51" s="108">
        <f t="shared" si="10"/>
        <v>2</v>
      </c>
      <c r="H51" s="108" t="str">
        <f t="shared" si="11"/>
        <v>완료</v>
      </c>
      <c r="I51" s="112" t="s">
        <v>514</v>
      </c>
      <c r="J51" s="4" t="s">
        <v>127</v>
      </c>
      <c r="K51" s="5" t="s">
        <v>135</v>
      </c>
      <c r="L51" s="6" t="str">
        <f t="shared" si="4"/>
        <v>1T3</v>
      </c>
      <c r="M51" s="13" t="s">
        <v>256</v>
      </c>
      <c r="N51" s="7" t="s">
        <v>3506</v>
      </c>
      <c r="O51" s="13" t="s">
        <v>257</v>
      </c>
      <c r="P51" s="115" t="s">
        <v>310</v>
      </c>
      <c r="Q51" s="8" t="s">
        <v>311</v>
      </c>
      <c r="R51" s="2">
        <v>1</v>
      </c>
      <c r="S51" s="9">
        <v>3500</v>
      </c>
      <c r="T51" s="10">
        <f t="shared" si="5"/>
        <v>1750</v>
      </c>
      <c r="U51" s="9">
        <v>700</v>
      </c>
      <c r="V51" s="10">
        <f t="shared" si="6"/>
        <v>1050</v>
      </c>
      <c r="W51" s="4" t="s">
        <v>123</v>
      </c>
      <c r="X51" s="2" t="s">
        <v>34</v>
      </c>
      <c r="Y51" s="11">
        <v>1</v>
      </c>
      <c r="Z51" s="12">
        <f t="shared" si="7"/>
        <v>38</v>
      </c>
      <c r="AA51" s="4" t="s">
        <v>212</v>
      </c>
      <c r="AC51" s="176">
        <f t="shared" si="12"/>
        <v>0.63636363636363635</v>
      </c>
    </row>
    <row r="52" spans="1:29" customFormat="1">
      <c r="A52" s="181"/>
      <c r="B52" s="183">
        <f t="shared" si="8"/>
        <v>8</v>
      </c>
      <c r="C52" s="107" t="str">
        <f t="shared" si="9"/>
        <v>ATK</v>
      </c>
      <c r="D52" s="2" t="s">
        <v>312</v>
      </c>
      <c r="E52" s="3">
        <v>43836</v>
      </c>
      <c r="F52" s="3">
        <v>43881</v>
      </c>
      <c r="G52" s="108">
        <f t="shared" si="10"/>
        <v>2</v>
      </c>
      <c r="H52" s="108" t="str">
        <f t="shared" si="11"/>
        <v>완료</v>
      </c>
      <c r="I52" s="112" t="s">
        <v>514</v>
      </c>
      <c r="J52" s="4" t="s">
        <v>118</v>
      </c>
      <c r="K52" s="5" t="s">
        <v>119</v>
      </c>
      <c r="L52" s="6" t="str">
        <f t="shared" si="4"/>
        <v>2T3</v>
      </c>
      <c r="M52" s="13" t="s">
        <v>256</v>
      </c>
      <c r="N52" s="7" t="s">
        <v>3516</v>
      </c>
      <c r="O52" s="13" t="s">
        <v>257</v>
      </c>
      <c r="P52" s="115" t="s">
        <v>896</v>
      </c>
      <c r="Q52" s="8" t="s">
        <v>313</v>
      </c>
      <c r="R52" s="2">
        <v>1</v>
      </c>
      <c r="S52" s="9">
        <v>3500</v>
      </c>
      <c r="T52" s="10">
        <f t="shared" si="5"/>
        <v>1750</v>
      </c>
      <c r="U52" s="9">
        <v>700</v>
      </c>
      <c r="V52" s="10">
        <f t="shared" si="6"/>
        <v>1050</v>
      </c>
      <c r="W52" s="4" t="s">
        <v>123</v>
      </c>
      <c r="X52" s="2" t="s">
        <v>34</v>
      </c>
      <c r="Y52" s="11">
        <v>1</v>
      </c>
      <c r="Z52" s="12">
        <f t="shared" si="7"/>
        <v>45</v>
      </c>
      <c r="AA52" s="4" t="s">
        <v>212</v>
      </c>
      <c r="AC52" s="176">
        <f t="shared" si="12"/>
        <v>0.63636363636363635</v>
      </c>
    </row>
    <row r="53" spans="1:29" customFormat="1">
      <c r="A53" s="181"/>
      <c r="B53" s="183">
        <f t="shared" si="8"/>
        <v>2</v>
      </c>
      <c r="C53" s="107" t="str">
        <f t="shared" si="9"/>
        <v>ATK</v>
      </c>
      <c r="D53" s="2" t="s">
        <v>274</v>
      </c>
      <c r="E53" s="3">
        <v>43833</v>
      </c>
      <c r="F53" s="3">
        <v>43837</v>
      </c>
      <c r="G53" s="108">
        <f t="shared" si="10"/>
        <v>1</v>
      </c>
      <c r="H53" s="108" t="str">
        <f t="shared" si="11"/>
        <v>완료</v>
      </c>
      <c r="I53" s="112" t="s">
        <v>218</v>
      </c>
      <c r="J53" s="4" t="s">
        <v>132</v>
      </c>
      <c r="K53" s="5" t="s">
        <v>143</v>
      </c>
      <c r="L53" s="6" t="str">
        <f t="shared" si="4"/>
        <v>3T4</v>
      </c>
      <c r="M53" s="13" t="s">
        <v>158</v>
      </c>
      <c r="N53" s="7" t="s">
        <v>3517</v>
      </c>
      <c r="O53" s="13" t="s">
        <v>315</v>
      </c>
      <c r="P53" s="115"/>
      <c r="Q53" s="8"/>
      <c r="R53" s="2">
        <v>1</v>
      </c>
      <c r="S53" s="9">
        <v>2000</v>
      </c>
      <c r="T53" s="10">
        <f t="shared" si="5"/>
        <v>1000</v>
      </c>
      <c r="U53" s="9">
        <v>6</v>
      </c>
      <c r="V53" s="10">
        <f t="shared" si="6"/>
        <v>994</v>
      </c>
      <c r="W53" s="4" t="s">
        <v>122</v>
      </c>
      <c r="X53" s="2"/>
      <c r="Y53" s="11">
        <v>2</v>
      </c>
      <c r="Z53" s="12">
        <f t="shared" si="7"/>
        <v>4</v>
      </c>
      <c r="AA53" s="4" t="s">
        <v>117</v>
      </c>
      <c r="AC53" s="176">
        <f t="shared" si="12"/>
        <v>5.454545454545455E-3</v>
      </c>
    </row>
    <row r="54" spans="1:29" customFormat="1">
      <c r="A54" s="181"/>
      <c r="B54" s="183">
        <f t="shared" si="8"/>
        <v>2</v>
      </c>
      <c r="C54" s="107" t="str">
        <f t="shared" si="9"/>
        <v>ATK</v>
      </c>
      <c r="D54" s="2" t="s">
        <v>316</v>
      </c>
      <c r="E54" s="3">
        <v>43836</v>
      </c>
      <c r="F54" s="3">
        <v>43837</v>
      </c>
      <c r="G54" s="108">
        <f t="shared" si="10"/>
        <v>1</v>
      </c>
      <c r="H54" s="108" t="str">
        <f t="shared" si="11"/>
        <v>Other</v>
      </c>
      <c r="I54" s="112" t="s">
        <v>317</v>
      </c>
      <c r="J54" s="4" t="s">
        <v>121</v>
      </c>
      <c r="K54" s="5" t="s">
        <v>229</v>
      </c>
      <c r="L54" s="6" t="str">
        <f t="shared" si="4"/>
        <v>5T2</v>
      </c>
      <c r="M54" s="13" t="s">
        <v>305</v>
      </c>
      <c r="N54" s="7" t="s">
        <v>3518</v>
      </c>
      <c r="O54" s="13" t="s">
        <v>318</v>
      </c>
      <c r="P54" s="115"/>
      <c r="Q54" s="8"/>
      <c r="R54" s="2">
        <v>1</v>
      </c>
      <c r="S54" s="9">
        <v>300</v>
      </c>
      <c r="T54" s="10">
        <f t="shared" si="5"/>
        <v>150</v>
      </c>
      <c r="U54" s="9">
        <v>0</v>
      </c>
      <c r="V54" s="10">
        <f t="shared" si="6"/>
        <v>150</v>
      </c>
      <c r="W54" s="4" t="s">
        <v>122</v>
      </c>
      <c r="X54" s="2"/>
      <c r="Y54" s="11">
        <v>2</v>
      </c>
      <c r="Z54" s="12">
        <f t="shared" si="7"/>
        <v>1</v>
      </c>
      <c r="AA54" s="4" t="s">
        <v>117</v>
      </c>
      <c r="AC54" s="176">
        <f t="shared" si="12"/>
        <v>0</v>
      </c>
    </row>
    <row r="55" spans="1:29" customFormat="1">
      <c r="A55" s="181"/>
      <c r="B55" s="183">
        <f t="shared" si="8"/>
        <v>2</v>
      </c>
      <c r="C55" s="107" t="str">
        <f t="shared" si="9"/>
        <v>ATK</v>
      </c>
      <c r="D55" s="2" t="s">
        <v>263</v>
      </c>
      <c r="E55" s="3">
        <v>43789</v>
      </c>
      <c r="F55" s="3">
        <v>43837</v>
      </c>
      <c r="G55" s="108">
        <f t="shared" si="10"/>
        <v>1</v>
      </c>
      <c r="H55" s="108" t="str">
        <f t="shared" si="11"/>
        <v>완료</v>
      </c>
      <c r="I55" s="112" t="s">
        <v>264</v>
      </c>
      <c r="J55" s="4" t="s">
        <v>265</v>
      </c>
      <c r="K55" s="5" t="s">
        <v>266</v>
      </c>
      <c r="L55" s="6" t="str">
        <f t="shared" si="4"/>
        <v>3T4</v>
      </c>
      <c r="M55" s="13" t="s">
        <v>299</v>
      </c>
      <c r="N55" s="7" t="s">
        <v>3519</v>
      </c>
      <c r="O55" s="13" t="s">
        <v>270</v>
      </c>
      <c r="P55" s="115" t="s">
        <v>271</v>
      </c>
      <c r="Q55" s="8" t="s">
        <v>319</v>
      </c>
      <c r="R55" s="2">
        <v>1</v>
      </c>
      <c r="S55" s="9">
        <v>910</v>
      </c>
      <c r="T55" s="10">
        <f t="shared" si="5"/>
        <v>455</v>
      </c>
      <c r="U55" s="9">
        <v>0</v>
      </c>
      <c r="V55" s="10">
        <f t="shared" si="6"/>
        <v>455</v>
      </c>
      <c r="W55" s="4" t="s">
        <v>249</v>
      </c>
      <c r="X55" s="2"/>
      <c r="Y55" s="11">
        <v>2</v>
      </c>
      <c r="Z55" s="12">
        <f t="shared" si="7"/>
        <v>48</v>
      </c>
      <c r="AA55" s="4" t="s">
        <v>174</v>
      </c>
      <c r="AC55" s="176">
        <f t="shared" si="12"/>
        <v>0</v>
      </c>
    </row>
    <row r="56" spans="1:29" customFormat="1">
      <c r="A56" s="181"/>
      <c r="B56" s="183">
        <f t="shared" si="8"/>
        <v>2</v>
      </c>
      <c r="C56" s="107" t="str">
        <f t="shared" si="9"/>
        <v>ATK</v>
      </c>
      <c r="D56" s="2" t="s">
        <v>274</v>
      </c>
      <c r="E56" s="3">
        <v>43837</v>
      </c>
      <c r="F56" s="3">
        <v>43838</v>
      </c>
      <c r="G56" s="108">
        <f t="shared" si="10"/>
        <v>1</v>
      </c>
      <c r="H56" s="108" t="str">
        <f t="shared" si="11"/>
        <v>완료</v>
      </c>
      <c r="I56" s="112" t="s">
        <v>264</v>
      </c>
      <c r="J56" s="4" t="s">
        <v>132</v>
      </c>
      <c r="K56" s="5" t="s">
        <v>143</v>
      </c>
      <c r="L56" s="6" t="str">
        <f t="shared" si="4"/>
        <v>3T4</v>
      </c>
      <c r="M56" s="13" t="s">
        <v>158</v>
      </c>
      <c r="N56" s="7" t="s">
        <v>3500</v>
      </c>
      <c r="O56" s="13" t="s">
        <v>320</v>
      </c>
      <c r="P56" s="115"/>
      <c r="Q56" s="8"/>
      <c r="R56" s="2">
        <v>1</v>
      </c>
      <c r="S56" s="9">
        <v>1200</v>
      </c>
      <c r="T56" s="10">
        <f t="shared" si="5"/>
        <v>600</v>
      </c>
      <c r="U56" s="9">
        <v>200</v>
      </c>
      <c r="V56" s="10">
        <f t="shared" si="6"/>
        <v>400</v>
      </c>
      <c r="W56" s="4" t="s">
        <v>249</v>
      </c>
      <c r="X56" s="2"/>
      <c r="Y56" s="11">
        <v>2</v>
      </c>
      <c r="Z56" s="12">
        <f t="shared" si="7"/>
        <v>1</v>
      </c>
      <c r="AA56" s="4" t="s">
        <v>174</v>
      </c>
      <c r="AC56" s="176">
        <f t="shared" si="12"/>
        <v>0.18181818181818182</v>
      </c>
    </row>
    <row r="57" spans="1:29" customFormat="1">
      <c r="A57" s="181"/>
      <c r="B57" s="183">
        <f t="shared" si="8"/>
        <v>2</v>
      </c>
      <c r="C57" s="107" t="str">
        <f t="shared" si="9"/>
        <v>ATK</v>
      </c>
      <c r="D57" s="2" t="s">
        <v>280</v>
      </c>
      <c r="E57" s="3">
        <v>43837</v>
      </c>
      <c r="F57" s="3">
        <v>43837</v>
      </c>
      <c r="G57" s="108">
        <f t="shared" si="10"/>
        <v>1</v>
      </c>
      <c r="H57" s="108" t="str">
        <f t="shared" si="11"/>
        <v>완료</v>
      </c>
      <c r="I57" s="112" t="s">
        <v>218</v>
      </c>
      <c r="J57" s="4" t="s">
        <v>115</v>
      </c>
      <c r="K57" s="5" t="s">
        <v>138</v>
      </c>
      <c r="L57" s="6" t="str">
        <f t="shared" si="4"/>
        <v>EE1</v>
      </c>
      <c r="M57" s="13"/>
      <c r="N57" s="7" t="s">
        <v>3509</v>
      </c>
      <c r="O57" s="13" t="s">
        <v>284</v>
      </c>
      <c r="P57" s="115"/>
      <c r="Q57" s="8"/>
      <c r="R57" s="2">
        <v>2</v>
      </c>
      <c r="S57" s="9">
        <v>1500</v>
      </c>
      <c r="T57" s="10">
        <f t="shared" si="5"/>
        <v>1500</v>
      </c>
      <c r="U57" s="9">
        <v>60</v>
      </c>
      <c r="V57" s="10">
        <f t="shared" si="6"/>
        <v>1440</v>
      </c>
      <c r="W57" s="4" t="s">
        <v>122</v>
      </c>
      <c r="X57" s="2"/>
      <c r="Y57" s="11">
        <v>8</v>
      </c>
      <c r="Z57" s="12">
        <f t="shared" si="7"/>
        <v>0</v>
      </c>
      <c r="AA57" s="4" t="s">
        <v>259</v>
      </c>
      <c r="AC57" s="176">
        <f t="shared" si="12"/>
        <v>5.4545454545454543E-2</v>
      </c>
    </row>
    <row r="58" spans="1:29" customFormat="1">
      <c r="A58" s="181"/>
      <c r="B58" s="183">
        <f t="shared" si="8"/>
        <v>3</v>
      </c>
      <c r="C58" s="107" t="str">
        <f t="shared" si="9"/>
        <v>ATK</v>
      </c>
      <c r="D58" s="2" t="s">
        <v>321</v>
      </c>
      <c r="E58" s="3">
        <v>43838</v>
      </c>
      <c r="F58" s="3">
        <v>43847</v>
      </c>
      <c r="G58" s="108">
        <f t="shared" si="10"/>
        <v>1</v>
      </c>
      <c r="H58" s="108" t="str">
        <f t="shared" si="11"/>
        <v>완료</v>
      </c>
      <c r="I58" s="112" t="s">
        <v>514</v>
      </c>
      <c r="J58" s="4" t="s">
        <v>132</v>
      </c>
      <c r="K58" s="5" t="s">
        <v>322</v>
      </c>
      <c r="L58" s="6" t="str">
        <f t="shared" si="4"/>
        <v>3T1</v>
      </c>
      <c r="M58" s="13" t="s">
        <v>323</v>
      </c>
      <c r="N58" s="7" t="s">
        <v>3520</v>
      </c>
      <c r="O58" s="13" t="s">
        <v>324</v>
      </c>
      <c r="P58" s="115" t="s">
        <v>325</v>
      </c>
      <c r="Q58" s="8"/>
      <c r="R58" s="2">
        <v>1</v>
      </c>
      <c r="S58" s="9">
        <v>3700</v>
      </c>
      <c r="T58" s="10">
        <f t="shared" si="5"/>
        <v>1850</v>
      </c>
      <c r="U58" s="9">
        <v>500</v>
      </c>
      <c r="V58" s="10">
        <f t="shared" si="6"/>
        <v>1350</v>
      </c>
      <c r="W58" s="4" t="s">
        <v>326</v>
      </c>
      <c r="X58" s="2" t="s">
        <v>29</v>
      </c>
      <c r="Y58" s="11">
        <v>4</v>
      </c>
      <c r="Z58" s="12">
        <f t="shared" si="7"/>
        <v>9</v>
      </c>
      <c r="AA58" s="4" t="s">
        <v>30</v>
      </c>
      <c r="AC58" s="176">
        <f t="shared" si="12"/>
        <v>0.45454545454545453</v>
      </c>
    </row>
    <row r="59" spans="1:29" customFormat="1">
      <c r="A59" s="181"/>
      <c r="B59" s="183">
        <f t="shared" si="8"/>
        <v>2</v>
      </c>
      <c r="C59" s="107" t="str">
        <f t="shared" si="9"/>
        <v>ATK</v>
      </c>
      <c r="D59" s="2" t="s">
        <v>327</v>
      </c>
      <c r="E59" s="3">
        <v>43837</v>
      </c>
      <c r="F59" s="3">
        <v>43838</v>
      </c>
      <c r="G59" s="108">
        <f t="shared" si="10"/>
        <v>1</v>
      </c>
      <c r="H59" s="108" t="str">
        <f t="shared" si="11"/>
        <v>완료</v>
      </c>
      <c r="I59" s="112" t="s">
        <v>218</v>
      </c>
      <c r="J59" s="4" t="s">
        <v>281</v>
      </c>
      <c r="K59" s="5" t="s">
        <v>282</v>
      </c>
      <c r="L59" s="6" t="str">
        <f t="shared" si="4"/>
        <v>EE1</v>
      </c>
      <c r="M59" s="13" t="s">
        <v>328</v>
      </c>
      <c r="N59" s="7" t="s">
        <v>140</v>
      </c>
      <c r="O59" s="13" t="s">
        <v>329</v>
      </c>
      <c r="P59" s="115" t="s">
        <v>330</v>
      </c>
      <c r="Q59" s="8"/>
      <c r="R59" s="2">
        <v>1</v>
      </c>
      <c r="S59" s="9">
        <v>1500</v>
      </c>
      <c r="T59" s="10">
        <f t="shared" si="5"/>
        <v>750</v>
      </c>
      <c r="U59" s="9">
        <v>100</v>
      </c>
      <c r="V59" s="10">
        <f t="shared" si="6"/>
        <v>650</v>
      </c>
      <c r="W59" s="4" t="s">
        <v>249</v>
      </c>
      <c r="X59" s="2"/>
      <c r="Y59" s="11">
        <v>2</v>
      </c>
      <c r="Z59" s="12">
        <f t="shared" si="7"/>
        <v>1</v>
      </c>
      <c r="AA59" s="4" t="s">
        <v>27</v>
      </c>
      <c r="AC59" s="176">
        <f t="shared" si="12"/>
        <v>9.0909090909090912E-2</v>
      </c>
    </row>
    <row r="60" spans="1:29" customFormat="1">
      <c r="A60" s="181"/>
      <c r="B60" s="183">
        <f t="shared" si="8"/>
        <v>2</v>
      </c>
      <c r="C60" s="107" t="str">
        <f t="shared" si="9"/>
        <v>ATK</v>
      </c>
      <c r="D60" s="2" t="s">
        <v>331</v>
      </c>
      <c r="E60" s="3">
        <v>43838</v>
      </c>
      <c r="F60" s="3">
        <v>43839</v>
      </c>
      <c r="G60" s="108">
        <f t="shared" si="10"/>
        <v>1</v>
      </c>
      <c r="H60" s="108" t="str">
        <f t="shared" si="11"/>
        <v>완료</v>
      </c>
      <c r="I60" s="112" t="s">
        <v>218</v>
      </c>
      <c r="J60" s="4" t="s">
        <v>281</v>
      </c>
      <c r="K60" s="5" t="s">
        <v>332</v>
      </c>
      <c r="L60" s="6" t="str">
        <f t="shared" si="4"/>
        <v>EE2</v>
      </c>
      <c r="M60" s="13" t="s">
        <v>256</v>
      </c>
      <c r="N60" s="7" t="s">
        <v>3521</v>
      </c>
      <c r="O60" s="13" t="s">
        <v>333</v>
      </c>
      <c r="P60" s="115" t="s">
        <v>334</v>
      </c>
      <c r="Q60" s="8"/>
      <c r="R60" s="2">
        <v>1</v>
      </c>
      <c r="S60" s="9">
        <v>3500</v>
      </c>
      <c r="T60" s="10">
        <f t="shared" si="5"/>
        <v>1750</v>
      </c>
      <c r="U60" s="9">
        <v>150</v>
      </c>
      <c r="V60" s="10">
        <f t="shared" si="6"/>
        <v>1600</v>
      </c>
      <c r="W60" s="4" t="s">
        <v>350</v>
      </c>
      <c r="X60" s="2"/>
      <c r="Y60" s="11">
        <v>8</v>
      </c>
      <c r="Z60" s="12">
        <f t="shared" si="7"/>
        <v>1</v>
      </c>
      <c r="AA60" s="4" t="s">
        <v>349</v>
      </c>
      <c r="AC60" s="176">
        <f t="shared" si="12"/>
        <v>0.13636363636363635</v>
      </c>
    </row>
    <row r="61" spans="1:29" customFormat="1">
      <c r="A61" s="181"/>
      <c r="B61" s="183">
        <f t="shared" si="8"/>
        <v>2</v>
      </c>
      <c r="C61" s="107" t="str">
        <f t="shared" si="9"/>
        <v>ATK</v>
      </c>
      <c r="D61" s="2" t="s">
        <v>255</v>
      </c>
      <c r="E61" s="3">
        <v>43838</v>
      </c>
      <c r="F61" s="3">
        <v>43838</v>
      </c>
      <c r="G61" s="108">
        <f t="shared" si="10"/>
        <v>1</v>
      </c>
      <c r="H61" s="108" t="str">
        <f t="shared" si="11"/>
        <v>완료</v>
      </c>
      <c r="I61" s="112" t="s">
        <v>218</v>
      </c>
      <c r="J61" s="4" t="s">
        <v>127</v>
      </c>
      <c r="K61" s="5" t="s">
        <v>135</v>
      </c>
      <c r="L61" s="6" t="str">
        <f t="shared" si="4"/>
        <v>1T3</v>
      </c>
      <c r="M61" s="13" t="s">
        <v>256</v>
      </c>
      <c r="N61" s="7" t="s">
        <v>3522</v>
      </c>
      <c r="O61" s="13" t="s">
        <v>257</v>
      </c>
      <c r="P61" s="115" t="s">
        <v>300</v>
      </c>
      <c r="Q61" s="8"/>
      <c r="R61" s="2">
        <v>1</v>
      </c>
      <c r="S61" s="9">
        <v>3500</v>
      </c>
      <c r="T61" s="10">
        <f t="shared" si="5"/>
        <v>1750</v>
      </c>
      <c r="U61" s="9">
        <v>150</v>
      </c>
      <c r="V61" s="10">
        <f t="shared" si="6"/>
        <v>1600</v>
      </c>
      <c r="W61" s="4" t="s">
        <v>122</v>
      </c>
      <c r="X61" s="2"/>
      <c r="Y61" s="11">
        <v>8</v>
      </c>
      <c r="Z61" s="12">
        <f t="shared" si="7"/>
        <v>0</v>
      </c>
      <c r="AA61" s="4" t="s">
        <v>259</v>
      </c>
      <c r="AC61" s="176">
        <f t="shared" si="12"/>
        <v>0.13636363636363635</v>
      </c>
    </row>
    <row r="62" spans="1:29" customFormat="1">
      <c r="A62" s="181"/>
      <c r="B62" s="183">
        <f t="shared" si="8"/>
        <v>2</v>
      </c>
      <c r="C62" s="107" t="str">
        <f t="shared" si="9"/>
        <v>ATK</v>
      </c>
      <c r="D62" s="2" t="s">
        <v>274</v>
      </c>
      <c r="E62" s="3">
        <v>43838</v>
      </c>
      <c r="F62" s="3">
        <v>43839</v>
      </c>
      <c r="G62" s="108">
        <f t="shared" si="10"/>
        <v>1</v>
      </c>
      <c r="H62" s="108" t="str">
        <f t="shared" si="11"/>
        <v>완료</v>
      </c>
      <c r="I62" s="112" t="s">
        <v>346</v>
      </c>
      <c r="J62" s="4" t="s">
        <v>132</v>
      </c>
      <c r="K62" s="5" t="s">
        <v>143</v>
      </c>
      <c r="L62" s="6" t="str">
        <f t="shared" si="4"/>
        <v>3T4</v>
      </c>
      <c r="M62" s="13" t="s">
        <v>158</v>
      </c>
      <c r="N62" s="7" t="s">
        <v>3500</v>
      </c>
      <c r="O62" s="13" t="s">
        <v>320</v>
      </c>
      <c r="P62" s="115" t="s">
        <v>347</v>
      </c>
      <c r="Q62" s="8"/>
      <c r="R62" s="2">
        <v>1</v>
      </c>
      <c r="S62" s="9">
        <v>1200</v>
      </c>
      <c r="T62" s="10">
        <f t="shared" si="5"/>
        <v>600</v>
      </c>
      <c r="U62" s="9">
        <v>200</v>
      </c>
      <c r="V62" s="10">
        <f t="shared" si="6"/>
        <v>400</v>
      </c>
      <c r="W62" s="4" t="s">
        <v>249</v>
      </c>
      <c r="X62" s="2"/>
      <c r="Y62" s="11">
        <v>2</v>
      </c>
      <c r="Z62" s="12">
        <f t="shared" si="7"/>
        <v>1</v>
      </c>
      <c r="AA62" s="4" t="s">
        <v>348</v>
      </c>
      <c r="AC62" s="176">
        <f t="shared" si="12"/>
        <v>0.18181818181818182</v>
      </c>
    </row>
    <row r="63" spans="1:29" customFormat="1">
      <c r="A63" s="181"/>
      <c r="B63" s="183">
        <f t="shared" si="8"/>
        <v>3</v>
      </c>
      <c r="C63" s="107" t="str">
        <f t="shared" si="9"/>
        <v>ATK</v>
      </c>
      <c r="D63" s="2" t="s">
        <v>312</v>
      </c>
      <c r="E63" s="3">
        <v>43838</v>
      </c>
      <c r="F63" s="3">
        <v>43843</v>
      </c>
      <c r="G63" s="108">
        <f t="shared" si="10"/>
        <v>1</v>
      </c>
      <c r="H63" s="108" t="str">
        <f t="shared" si="11"/>
        <v>완료</v>
      </c>
      <c r="I63" s="112" t="s">
        <v>218</v>
      </c>
      <c r="J63" s="4" t="s">
        <v>118</v>
      </c>
      <c r="K63" s="5" t="s">
        <v>119</v>
      </c>
      <c r="L63" s="6" t="str">
        <f t="shared" si="4"/>
        <v>2T3</v>
      </c>
      <c r="M63" s="13" t="s">
        <v>256</v>
      </c>
      <c r="N63" s="7" t="s">
        <v>3523</v>
      </c>
      <c r="O63" s="13" t="s">
        <v>225</v>
      </c>
      <c r="P63" s="115" t="s">
        <v>330</v>
      </c>
      <c r="Q63" s="8"/>
      <c r="R63" s="2">
        <v>1</v>
      </c>
      <c r="S63" s="9">
        <v>5000</v>
      </c>
      <c r="T63" s="10">
        <f t="shared" si="5"/>
        <v>2500</v>
      </c>
      <c r="U63" s="9">
        <v>50</v>
      </c>
      <c r="V63" s="10">
        <f t="shared" si="6"/>
        <v>2450</v>
      </c>
      <c r="W63" s="4" t="s">
        <v>249</v>
      </c>
      <c r="X63" s="2"/>
      <c r="Y63" s="11">
        <v>6</v>
      </c>
      <c r="Z63" s="12">
        <f t="shared" si="7"/>
        <v>5</v>
      </c>
      <c r="AA63" s="4" t="s">
        <v>27</v>
      </c>
      <c r="AC63" s="176">
        <f t="shared" si="12"/>
        <v>4.5454545454545456E-2</v>
      </c>
    </row>
    <row r="64" spans="1:29" customFormat="1">
      <c r="A64" s="181"/>
      <c r="B64" s="183">
        <f t="shared" si="8"/>
        <v>2</v>
      </c>
      <c r="C64" s="107" t="str">
        <f t="shared" si="9"/>
        <v>ATK</v>
      </c>
      <c r="D64" s="2" t="s">
        <v>288</v>
      </c>
      <c r="E64" s="3">
        <v>43838</v>
      </c>
      <c r="F64" s="3">
        <v>43838</v>
      </c>
      <c r="G64" s="108">
        <f t="shared" si="10"/>
        <v>1</v>
      </c>
      <c r="H64" s="108" t="str">
        <f t="shared" si="11"/>
        <v>완료</v>
      </c>
      <c r="I64" s="112" t="s">
        <v>218</v>
      </c>
      <c r="J64" s="4" t="s">
        <v>243</v>
      </c>
      <c r="K64" s="5" t="s">
        <v>243</v>
      </c>
      <c r="L64" s="6" t="str">
        <f t="shared" si="4"/>
        <v>K5</v>
      </c>
      <c r="M64" s="13" t="s">
        <v>289</v>
      </c>
      <c r="N64" s="7" t="s">
        <v>3513</v>
      </c>
      <c r="O64" s="13" t="s">
        <v>290</v>
      </c>
      <c r="P64" s="115"/>
      <c r="Q64" s="8"/>
      <c r="R64" s="2">
        <v>1</v>
      </c>
      <c r="S64" s="9">
        <v>1500</v>
      </c>
      <c r="T64" s="10">
        <f t="shared" si="5"/>
        <v>750</v>
      </c>
      <c r="U64" s="9">
        <v>70</v>
      </c>
      <c r="V64" s="10">
        <f t="shared" si="6"/>
        <v>680</v>
      </c>
      <c r="W64" s="4" t="s">
        <v>122</v>
      </c>
      <c r="X64" s="2"/>
      <c r="Y64" s="11">
        <v>7</v>
      </c>
      <c r="Z64" s="12">
        <f t="shared" si="7"/>
        <v>0</v>
      </c>
      <c r="AA64" s="4" t="s">
        <v>117</v>
      </c>
      <c r="AC64" s="176">
        <f t="shared" si="12"/>
        <v>6.363636363636363E-2</v>
      </c>
    </row>
    <row r="65" spans="1:29" customFormat="1">
      <c r="A65" s="181"/>
      <c r="B65" s="183">
        <f t="shared" si="8"/>
        <v>2</v>
      </c>
      <c r="C65" s="107" t="str">
        <f t="shared" si="9"/>
        <v>ATK</v>
      </c>
      <c r="D65" s="2" t="s">
        <v>335</v>
      </c>
      <c r="E65" s="3">
        <v>43839</v>
      </c>
      <c r="F65" s="3">
        <v>43839</v>
      </c>
      <c r="G65" s="108">
        <f t="shared" si="10"/>
        <v>1</v>
      </c>
      <c r="H65" s="108" t="str">
        <f t="shared" si="11"/>
        <v>완료</v>
      </c>
      <c r="I65" s="112" t="s">
        <v>218</v>
      </c>
      <c r="J65" s="4" t="s">
        <v>336</v>
      </c>
      <c r="K65" s="5" t="s">
        <v>336</v>
      </c>
      <c r="L65" s="6" t="str">
        <f t="shared" si="4"/>
        <v>PM</v>
      </c>
      <c r="M65" s="13"/>
      <c r="N65" s="7"/>
      <c r="O65" s="13" t="s">
        <v>337</v>
      </c>
      <c r="P65" s="115" t="s">
        <v>227</v>
      </c>
      <c r="Q65" s="8"/>
      <c r="R65" s="2">
        <v>1</v>
      </c>
      <c r="S65" s="9">
        <v>900</v>
      </c>
      <c r="T65" s="10">
        <f t="shared" si="5"/>
        <v>450</v>
      </c>
      <c r="U65" s="9">
        <v>5</v>
      </c>
      <c r="V65" s="10">
        <f t="shared" si="6"/>
        <v>445</v>
      </c>
      <c r="W65" s="4" t="s">
        <v>122</v>
      </c>
      <c r="X65" s="2"/>
      <c r="Y65" s="11">
        <v>1</v>
      </c>
      <c r="Z65" s="12">
        <f t="shared" si="7"/>
        <v>0</v>
      </c>
      <c r="AA65" s="4" t="s">
        <v>117</v>
      </c>
      <c r="AC65" s="176">
        <f t="shared" si="12"/>
        <v>4.5454545454545452E-3</v>
      </c>
    </row>
    <row r="66" spans="1:29" customFormat="1">
      <c r="A66" s="181"/>
      <c r="B66" s="183">
        <f t="shared" si="8"/>
        <v>2</v>
      </c>
      <c r="C66" s="107" t="str">
        <f t="shared" si="9"/>
        <v>ATK</v>
      </c>
      <c r="D66" s="2" t="s">
        <v>338</v>
      </c>
      <c r="E66" s="3">
        <v>43836</v>
      </c>
      <c r="F66" s="3">
        <v>43839</v>
      </c>
      <c r="G66" s="108">
        <f t="shared" si="10"/>
        <v>1</v>
      </c>
      <c r="H66" s="108" t="str">
        <f t="shared" si="11"/>
        <v>완료</v>
      </c>
      <c r="I66" s="112" t="s">
        <v>218</v>
      </c>
      <c r="J66" s="4" t="s">
        <v>281</v>
      </c>
      <c r="K66" s="5" t="s">
        <v>332</v>
      </c>
      <c r="L66" s="6" t="str">
        <f t="shared" ref="L66:L129" si="13">LEFT(K66,3)</f>
        <v>EE2</v>
      </c>
      <c r="M66" s="13" t="s">
        <v>226</v>
      </c>
      <c r="N66" s="7" t="s">
        <v>3524</v>
      </c>
      <c r="O66" s="13" t="s">
        <v>340</v>
      </c>
      <c r="P66" s="115"/>
      <c r="Q66" s="8"/>
      <c r="R66" s="2">
        <v>1</v>
      </c>
      <c r="S66" s="9">
        <v>1500</v>
      </c>
      <c r="T66" s="10">
        <f t="shared" ref="T66:T129" si="14">(S66*50)/100*R66</f>
        <v>750</v>
      </c>
      <c r="U66" s="9">
        <v>5</v>
      </c>
      <c r="V66" s="10">
        <f t="shared" ref="V66:V129" si="15">T66-U66</f>
        <v>745</v>
      </c>
      <c r="W66" s="4" t="s">
        <v>122</v>
      </c>
      <c r="X66" s="2"/>
      <c r="Y66" s="11">
        <v>2</v>
      </c>
      <c r="Z66" s="12">
        <f t="shared" ref="Z66:Z129" si="16">F66-E66</f>
        <v>3</v>
      </c>
      <c r="AA66" s="4" t="s">
        <v>27</v>
      </c>
      <c r="AC66" s="176">
        <f t="shared" si="12"/>
        <v>4.5454545454545452E-3</v>
      </c>
    </row>
    <row r="67" spans="1:29" customFormat="1" ht="24">
      <c r="A67" s="181"/>
      <c r="B67" s="183">
        <f t="shared" ref="B67:B130" si="17">IF(F67&gt;0,IFERROR(WEEKNUM(F67),""),"")</f>
        <v>2</v>
      </c>
      <c r="C67" s="107" t="str">
        <f t="shared" ref="C67:C130" si="18">IF(D67=0,"",(IF(LEFT(D67,3)="ATK","ATK",IF(LEFT(D67,2)="AT",D67,"ATK"))))</f>
        <v>ATK</v>
      </c>
      <c r="D67" s="2" t="s">
        <v>341</v>
      </c>
      <c r="E67" s="3">
        <v>43838</v>
      </c>
      <c r="F67" s="3">
        <v>43839</v>
      </c>
      <c r="G67" s="108">
        <f t="shared" ref="G67:G130" si="19">IF(F67&gt;0,MONTH(F67),"")</f>
        <v>1</v>
      </c>
      <c r="H67" s="108" t="str">
        <f t="shared" ref="H67:H130" si="20">IF(I67=0,"",IF(RIGHT(I67,2)="완료","완료",IF(RIGHT(I67,2)="불가","수리불가",IF(RIGHT(I67,1)="중","수리중","Other"))))</f>
        <v>완료</v>
      </c>
      <c r="I67" s="112" t="s">
        <v>218</v>
      </c>
      <c r="J67" s="4" t="s">
        <v>251</v>
      </c>
      <c r="K67" s="5" t="s">
        <v>251</v>
      </c>
      <c r="L67" s="6" t="str">
        <f t="shared" si="13"/>
        <v>Oth</v>
      </c>
      <c r="M67" s="13" t="s">
        <v>342</v>
      </c>
      <c r="N67" s="7" t="s">
        <v>3525</v>
      </c>
      <c r="O67" s="13" t="s">
        <v>343</v>
      </c>
      <c r="P67" s="115" t="s">
        <v>344</v>
      </c>
      <c r="Q67" s="8" t="s">
        <v>345</v>
      </c>
      <c r="R67" s="2">
        <v>1</v>
      </c>
      <c r="S67" s="9">
        <v>150</v>
      </c>
      <c r="T67" s="10">
        <f t="shared" si="14"/>
        <v>75</v>
      </c>
      <c r="U67" s="9">
        <v>1</v>
      </c>
      <c r="V67" s="10">
        <f t="shared" si="15"/>
        <v>74</v>
      </c>
      <c r="W67" s="4" t="s">
        <v>122</v>
      </c>
      <c r="X67" s="2"/>
      <c r="Y67" s="11">
        <v>8</v>
      </c>
      <c r="Z67" s="12">
        <f t="shared" si="16"/>
        <v>1</v>
      </c>
      <c r="AA67" s="4" t="s">
        <v>120</v>
      </c>
      <c r="AC67" s="176">
        <f t="shared" ref="AC67:AC130" si="21">U67/1100</f>
        <v>9.0909090909090909E-4</v>
      </c>
    </row>
    <row r="68" spans="1:29" customFormat="1">
      <c r="A68" s="181"/>
      <c r="B68" s="183">
        <f t="shared" si="17"/>
        <v>2</v>
      </c>
      <c r="C68" s="107" t="str">
        <f t="shared" si="18"/>
        <v>ATK</v>
      </c>
      <c r="D68" s="2" t="s">
        <v>255</v>
      </c>
      <c r="E68" s="3">
        <v>43836</v>
      </c>
      <c r="F68" s="3">
        <v>43839</v>
      </c>
      <c r="G68" s="108">
        <f t="shared" si="19"/>
        <v>1</v>
      </c>
      <c r="H68" s="108" t="str">
        <f t="shared" si="20"/>
        <v>완료</v>
      </c>
      <c r="I68" s="112" t="s">
        <v>218</v>
      </c>
      <c r="J68" s="4" t="s">
        <v>127</v>
      </c>
      <c r="K68" s="5" t="s">
        <v>135</v>
      </c>
      <c r="L68" s="6" t="str">
        <f t="shared" si="13"/>
        <v>1T3</v>
      </c>
      <c r="M68" s="13" t="s">
        <v>256</v>
      </c>
      <c r="N68" s="7" t="s">
        <v>3506</v>
      </c>
      <c r="O68" s="13" t="s">
        <v>351</v>
      </c>
      <c r="P68" s="115" t="s">
        <v>352</v>
      </c>
      <c r="Q68" s="8"/>
      <c r="R68" s="2">
        <v>1</v>
      </c>
      <c r="S68" s="9">
        <v>2000</v>
      </c>
      <c r="T68" s="10">
        <f t="shared" si="14"/>
        <v>1000</v>
      </c>
      <c r="U68" s="9">
        <v>0</v>
      </c>
      <c r="V68" s="10">
        <f t="shared" si="15"/>
        <v>1000</v>
      </c>
      <c r="W68" s="4" t="s">
        <v>122</v>
      </c>
      <c r="X68" s="2"/>
      <c r="Y68" s="11">
        <v>1</v>
      </c>
      <c r="Z68" s="12">
        <f t="shared" si="16"/>
        <v>3</v>
      </c>
      <c r="AA68" s="4" t="s">
        <v>212</v>
      </c>
      <c r="AC68" s="176">
        <f t="shared" si="21"/>
        <v>0</v>
      </c>
    </row>
    <row r="69" spans="1:29" customFormat="1">
      <c r="A69" s="181"/>
      <c r="B69" s="183">
        <f t="shared" si="17"/>
        <v>2</v>
      </c>
      <c r="C69" s="107" t="str">
        <f t="shared" si="18"/>
        <v>ATK</v>
      </c>
      <c r="D69" s="2" t="s">
        <v>353</v>
      </c>
      <c r="E69" s="3">
        <v>43839</v>
      </c>
      <c r="F69" s="3">
        <v>43840</v>
      </c>
      <c r="G69" s="108">
        <f t="shared" si="19"/>
        <v>1</v>
      </c>
      <c r="H69" s="108" t="str">
        <f t="shared" si="20"/>
        <v>완료</v>
      </c>
      <c r="I69" s="112" t="s">
        <v>264</v>
      </c>
      <c r="J69" s="4" t="s">
        <v>115</v>
      </c>
      <c r="K69" s="5" t="s">
        <v>116</v>
      </c>
      <c r="L69" s="6" t="str">
        <f t="shared" si="13"/>
        <v>EE2</v>
      </c>
      <c r="M69" s="13" t="s">
        <v>354</v>
      </c>
      <c r="N69" s="13" t="s">
        <v>3526</v>
      </c>
      <c r="O69" s="7" t="s">
        <v>230</v>
      </c>
      <c r="P69" s="115" t="s">
        <v>355</v>
      </c>
      <c r="Q69" s="8"/>
      <c r="R69" s="2">
        <v>1</v>
      </c>
      <c r="S69" s="9">
        <v>500</v>
      </c>
      <c r="T69" s="10">
        <f t="shared" si="14"/>
        <v>250</v>
      </c>
      <c r="U69" s="9">
        <v>100</v>
      </c>
      <c r="V69" s="10">
        <f t="shared" si="15"/>
        <v>150</v>
      </c>
      <c r="W69" s="4" t="s">
        <v>122</v>
      </c>
      <c r="X69" s="2"/>
      <c r="Y69" s="11">
        <v>1</v>
      </c>
      <c r="Z69" s="12">
        <f t="shared" si="16"/>
        <v>1</v>
      </c>
      <c r="AA69" s="4" t="s">
        <v>356</v>
      </c>
      <c r="AC69" s="176">
        <f t="shared" si="21"/>
        <v>9.0909090909090912E-2</v>
      </c>
    </row>
    <row r="70" spans="1:29" customFormat="1">
      <c r="A70" s="181"/>
      <c r="B70" s="183">
        <f t="shared" si="17"/>
        <v>2</v>
      </c>
      <c r="C70" s="107" t="str">
        <f t="shared" si="18"/>
        <v>ATK</v>
      </c>
      <c r="D70" s="2" t="s">
        <v>357</v>
      </c>
      <c r="E70" s="3">
        <v>43838</v>
      </c>
      <c r="F70" s="3">
        <v>43838</v>
      </c>
      <c r="G70" s="108">
        <f t="shared" si="19"/>
        <v>1</v>
      </c>
      <c r="H70" s="108" t="str">
        <f t="shared" si="20"/>
        <v>Other</v>
      </c>
      <c r="I70" s="112" t="s">
        <v>251</v>
      </c>
      <c r="J70" s="4" t="s">
        <v>281</v>
      </c>
      <c r="K70" s="5" t="s">
        <v>282</v>
      </c>
      <c r="L70" s="6" t="str">
        <f t="shared" si="13"/>
        <v>EE1</v>
      </c>
      <c r="M70" s="13" t="s">
        <v>216</v>
      </c>
      <c r="N70" s="7" t="s">
        <v>140</v>
      </c>
      <c r="O70" s="13" t="s">
        <v>358</v>
      </c>
      <c r="P70" s="115" t="s">
        <v>359</v>
      </c>
      <c r="Q70" s="8"/>
      <c r="R70" s="2">
        <v>1</v>
      </c>
      <c r="S70" s="9">
        <v>0</v>
      </c>
      <c r="T70" s="10">
        <f t="shared" si="14"/>
        <v>0</v>
      </c>
      <c r="U70" s="9">
        <v>0</v>
      </c>
      <c r="V70" s="10">
        <f t="shared" si="15"/>
        <v>0</v>
      </c>
      <c r="W70" s="4" t="s">
        <v>122</v>
      </c>
      <c r="X70" s="2"/>
      <c r="Y70" s="11">
        <v>3</v>
      </c>
      <c r="Z70" s="12">
        <f t="shared" si="16"/>
        <v>0</v>
      </c>
      <c r="AA70" s="4" t="s">
        <v>174</v>
      </c>
      <c r="AC70" s="176">
        <f t="shared" si="21"/>
        <v>0</v>
      </c>
    </row>
    <row r="71" spans="1:29" customFormat="1">
      <c r="A71" s="181"/>
      <c r="B71" s="183">
        <f t="shared" si="17"/>
        <v>2</v>
      </c>
      <c r="C71" s="107" t="str">
        <f t="shared" si="18"/>
        <v>ATK</v>
      </c>
      <c r="D71" s="2" t="s">
        <v>357</v>
      </c>
      <c r="E71" s="3">
        <v>43838</v>
      </c>
      <c r="F71" s="3">
        <v>43838</v>
      </c>
      <c r="G71" s="108">
        <f t="shared" si="19"/>
        <v>1</v>
      </c>
      <c r="H71" s="108" t="str">
        <f t="shared" si="20"/>
        <v>Other</v>
      </c>
      <c r="I71" s="112" t="s">
        <v>251</v>
      </c>
      <c r="J71" s="4" t="s">
        <v>281</v>
      </c>
      <c r="K71" s="5" t="s">
        <v>282</v>
      </c>
      <c r="L71" s="6" t="str">
        <f t="shared" si="13"/>
        <v>EE1</v>
      </c>
      <c r="M71" s="13" t="s">
        <v>216</v>
      </c>
      <c r="N71" s="7" t="s">
        <v>140</v>
      </c>
      <c r="O71" s="13" t="s">
        <v>358</v>
      </c>
      <c r="P71" s="115" t="s">
        <v>359</v>
      </c>
      <c r="Q71" s="8"/>
      <c r="R71" s="2">
        <v>1</v>
      </c>
      <c r="S71" s="9">
        <v>0</v>
      </c>
      <c r="T71" s="10">
        <f t="shared" si="14"/>
        <v>0</v>
      </c>
      <c r="U71" s="9">
        <v>0</v>
      </c>
      <c r="V71" s="10">
        <f t="shared" si="15"/>
        <v>0</v>
      </c>
      <c r="W71" s="4" t="s">
        <v>122</v>
      </c>
      <c r="X71" s="2"/>
      <c r="Y71" s="11">
        <v>3</v>
      </c>
      <c r="Z71" s="12">
        <f t="shared" si="16"/>
        <v>0</v>
      </c>
      <c r="AA71" s="4" t="s">
        <v>27</v>
      </c>
      <c r="AC71" s="176">
        <f t="shared" si="21"/>
        <v>0</v>
      </c>
    </row>
    <row r="72" spans="1:29" customFormat="1">
      <c r="A72" s="181"/>
      <c r="B72" s="183">
        <f t="shared" si="17"/>
        <v>2</v>
      </c>
      <c r="C72" s="107" t="str">
        <f t="shared" si="18"/>
        <v>ATK</v>
      </c>
      <c r="D72" s="2" t="s">
        <v>253</v>
      </c>
      <c r="E72" s="3">
        <v>43840</v>
      </c>
      <c r="F72" s="3">
        <v>43840</v>
      </c>
      <c r="G72" s="108">
        <f t="shared" si="19"/>
        <v>1</v>
      </c>
      <c r="H72" s="108" t="str">
        <f t="shared" si="20"/>
        <v>완료</v>
      </c>
      <c r="I72" s="112" t="s">
        <v>218</v>
      </c>
      <c r="J72" s="4" t="s">
        <v>243</v>
      </c>
      <c r="K72" s="5" t="s">
        <v>243</v>
      </c>
      <c r="L72" s="6" t="str">
        <f t="shared" si="13"/>
        <v>K5</v>
      </c>
      <c r="M72" s="13" t="s">
        <v>233</v>
      </c>
      <c r="N72" s="7" t="s">
        <v>3505</v>
      </c>
      <c r="O72" s="7" t="s">
        <v>157</v>
      </c>
      <c r="P72" s="115" t="s">
        <v>360</v>
      </c>
      <c r="Q72" s="8"/>
      <c r="R72" s="2">
        <v>1</v>
      </c>
      <c r="S72" s="9">
        <v>1000</v>
      </c>
      <c r="T72" s="10">
        <f t="shared" si="14"/>
        <v>500</v>
      </c>
      <c r="U72" s="9"/>
      <c r="V72" s="10">
        <f t="shared" si="15"/>
        <v>500</v>
      </c>
      <c r="W72" s="4" t="s">
        <v>122</v>
      </c>
      <c r="X72" s="2"/>
      <c r="Y72" s="11">
        <v>8</v>
      </c>
      <c r="Z72" s="12">
        <f t="shared" si="16"/>
        <v>0</v>
      </c>
      <c r="AA72" s="4" t="s">
        <v>212</v>
      </c>
      <c r="AC72" s="176">
        <f t="shared" si="21"/>
        <v>0</v>
      </c>
    </row>
    <row r="73" spans="1:29" customFormat="1">
      <c r="A73" s="181"/>
      <c r="B73" s="183">
        <f t="shared" si="17"/>
        <v>2</v>
      </c>
      <c r="C73" s="107" t="str">
        <f t="shared" si="18"/>
        <v>ATK</v>
      </c>
      <c r="D73" s="2" t="s">
        <v>361</v>
      </c>
      <c r="E73" s="3">
        <v>43840</v>
      </c>
      <c r="F73" s="3">
        <v>43840</v>
      </c>
      <c r="G73" s="108">
        <f t="shared" si="19"/>
        <v>1</v>
      </c>
      <c r="H73" s="108" t="str">
        <f t="shared" si="20"/>
        <v>완료</v>
      </c>
      <c r="I73" s="112" t="s">
        <v>218</v>
      </c>
      <c r="J73" s="4" t="s">
        <v>127</v>
      </c>
      <c r="K73" s="5" t="s">
        <v>135</v>
      </c>
      <c r="L73" s="6" t="str">
        <f t="shared" si="13"/>
        <v>1T3</v>
      </c>
      <c r="M73" s="13" t="s">
        <v>256</v>
      </c>
      <c r="N73" s="13" t="s">
        <v>3527</v>
      </c>
      <c r="O73" s="7" t="s">
        <v>362</v>
      </c>
      <c r="P73" s="115"/>
      <c r="Q73" s="8"/>
      <c r="R73" s="2">
        <v>1</v>
      </c>
      <c r="S73" s="9">
        <v>500</v>
      </c>
      <c r="T73" s="10">
        <f t="shared" si="14"/>
        <v>250</v>
      </c>
      <c r="U73" s="9">
        <v>200</v>
      </c>
      <c r="V73" s="10">
        <f t="shared" si="15"/>
        <v>50</v>
      </c>
      <c r="W73" s="4" t="s">
        <v>122</v>
      </c>
      <c r="X73" s="2"/>
      <c r="Y73" s="11">
        <v>1</v>
      </c>
      <c r="Z73" s="12">
        <f t="shared" si="16"/>
        <v>0</v>
      </c>
      <c r="AA73" s="4" t="s">
        <v>363</v>
      </c>
      <c r="AC73" s="176">
        <f t="shared" si="21"/>
        <v>0.18181818181818182</v>
      </c>
    </row>
    <row r="74" spans="1:29" customFormat="1">
      <c r="A74" s="181"/>
      <c r="B74" s="183">
        <f t="shared" si="17"/>
        <v>2</v>
      </c>
      <c r="C74" s="107" t="str">
        <f t="shared" si="18"/>
        <v>ATK</v>
      </c>
      <c r="D74" s="2" t="s">
        <v>280</v>
      </c>
      <c r="E74" s="3">
        <v>43840</v>
      </c>
      <c r="F74" s="3">
        <v>43840</v>
      </c>
      <c r="G74" s="108">
        <f t="shared" si="19"/>
        <v>1</v>
      </c>
      <c r="H74" s="108" t="str">
        <f t="shared" si="20"/>
        <v>완료</v>
      </c>
      <c r="I74" s="112" t="s">
        <v>346</v>
      </c>
      <c r="J74" s="4" t="s">
        <v>364</v>
      </c>
      <c r="K74" s="5" t="s">
        <v>365</v>
      </c>
      <c r="L74" s="6" t="str">
        <f t="shared" si="13"/>
        <v>EE1</v>
      </c>
      <c r="M74" s="13" t="s">
        <v>158</v>
      </c>
      <c r="N74" s="7" t="s">
        <v>3500</v>
      </c>
      <c r="O74" s="13" t="s">
        <v>320</v>
      </c>
      <c r="P74" s="115" t="s">
        <v>347</v>
      </c>
      <c r="Q74" s="8"/>
      <c r="R74" s="2">
        <v>1</v>
      </c>
      <c r="S74" s="9">
        <v>1200</v>
      </c>
      <c r="T74" s="10">
        <f t="shared" si="14"/>
        <v>600</v>
      </c>
      <c r="U74" s="9">
        <v>200</v>
      </c>
      <c r="V74" s="10">
        <f t="shared" si="15"/>
        <v>400</v>
      </c>
      <c r="W74" s="4" t="s">
        <v>249</v>
      </c>
      <c r="X74" s="2"/>
      <c r="Y74" s="11">
        <v>2</v>
      </c>
      <c r="Z74" s="12">
        <f t="shared" si="16"/>
        <v>0</v>
      </c>
      <c r="AA74" s="4" t="s">
        <v>348</v>
      </c>
      <c r="AC74" s="176">
        <f t="shared" si="21"/>
        <v>0.18181818181818182</v>
      </c>
    </row>
    <row r="75" spans="1:29" customFormat="1">
      <c r="A75" s="181"/>
      <c r="B75" s="183">
        <f t="shared" si="17"/>
        <v>2</v>
      </c>
      <c r="C75" s="107" t="str">
        <f t="shared" si="18"/>
        <v>ATK</v>
      </c>
      <c r="D75" s="2" t="s">
        <v>366</v>
      </c>
      <c r="E75" s="3">
        <v>43840</v>
      </c>
      <c r="F75" s="3">
        <v>43840</v>
      </c>
      <c r="G75" s="108">
        <f t="shared" si="19"/>
        <v>1</v>
      </c>
      <c r="H75" s="108" t="str">
        <f t="shared" si="20"/>
        <v>완료</v>
      </c>
      <c r="I75" s="112" t="s">
        <v>218</v>
      </c>
      <c r="J75" s="4" t="s">
        <v>132</v>
      </c>
      <c r="K75" s="5" t="s">
        <v>143</v>
      </c>
      <c r="L75" s="6" t="str">
        <f t="shared" si="13"/>
        <v>3T4</v>
      </c>
      <c r="M75" s="13" t="s">
        <v>216</v>
      </c>
      <c r="N75" s="7" t="s">
        <v>3528</v>
      </c>
      <c r="O75" s="13" t="s">
        <v>367</v>
      </c>
      <c r="P75" s="115" t="s">
        <v>368</v>
      </c>
      <c r="Q75" s="8"/>
      <c r="R75" s="2">
        <v>2</v>
      </c>
      <c r="S75" s="9">
        <v>1200</v>
      </c>
      <c r="T75" s="10">
        <f t="shared" si="14"/>
        <v>1200</v>
      </c>
      <c r="U75" s="9">
        <v>50</v>
      </c>
      <c r="V75" s="10">
        <f t="shared" si="15"/>
        <v>1150</v>
      </c>
      <c r="W75" s="4" t="s">
        <v>122</v>
      </c>
      <c r="X75" s="2"/>
      <c r="Y75" s="11">
        <v>8</v>
      </c>
      <c r="Z75" s="12">
        <f t="shared" si="16"/>
        <v>0</v>
      </c>
      <c r="AA75" s="4" t="s">
        <v>259</v>
      </c>
      <c r="AC75" s="176">
        <f t="shared" si="21"/>
        <v>4.5454545454545456E-2</v>
      </c>
    </row>
    <row r="76" spans="1:29" customFormat="1">
      <c r="A76" s="181"/>
      <c r="B76" s="183">
        <f t="shared" si="17"/>
        <v>2</v>
      </c>
      <c r="C76" s="107" t="str">
        <f t="shared" si="18"/>
        <v>ATK</v>
      </c>
      <c r="D76" s="2" t="s">
        <v>223</v>
      </c>
      <c r="E76" s="3">
        <v>43836</v>
      </c>
      <c r="F76" s="3">
        <v>43840</v>
      </c>
      <c r="G76" s="108">
        <f t="shared" si="19"/>
        <v>1</v>
      </c>
      <c r="H76" s="108" t="str">
        <f t="shared" si="20"/>
        <v>완료</v>
      </c>
      <c r="I76" s="112" t="s">
        <v>218</v>
      </c>
      <c r="J76" s="4" t="s">
        <v>121</v>
      </c>
      <c r="K76" s="5" t="s">
        <v>229</v>
      </c>
      <c r="L76" s="6" t="str">
        <f t="shared" si="13"/>
        <v>5T2</v>
      </c>
      <c r="M76" s="13" t="s">
        <v>226</v>
      </c>
      <c r="N76" s="7" t="s">
        <v>3500</v>
      </c>
      <c r="O76" s="13" t="s">
        <v>228</v>
      </c>
      <c r="P76" s="115" t="s">
        <v>369</v>
      </c>
      <c r="Q76" s="8"/>
      <c r="R76" s="2">
        <v>1</v>
      </c>
      <c r="S76" s="9">
        <v>1500</v>
      </c>
      <c r="T76" s="10">
        <f t="shared" si="14"/>
        <v>750</v>
      </c>
      <c r="U76" s="9">
        <v>150</v>
      </c>
      <c r="V76" s="10">
        <f t="shared" si="15"/>
        <v>600</v>
      </c>
      <c r="W76" s="4" t="s">
        <v>122</v>
      </c>
      <c r="X76" s="2"/>
      <c r="Y76" s="11">
        <v>2</v>
      </c>
      <c r="Z76" s="12">
        <f t="shared" si="16"/>
        <v>4</v>
      </c>
      <c r="AA76" s="4" t="s">
        <v>27</v>
      </c>
      <c r="AC76" s="176">
        <f t="shared" si="21"/>
        <v>0.13636363636363635</v>
      </c>
    </row>
    <row r="77" spans="1:29" customFormat="1">
      <c r="A77" s="181"/>
      <c r="B77" s="183">
        <f t="shared" si="17"/>
        <v>2</v>
      </c>
      <c r="C77" s="107" t="str">
        <f t="shared" si="18"/>
        <v>ATK</v>
      </c>
      <c r="D77" s="2" t="s">
        <v>312</v>
      </c>
      <c r="E77" s="3">
        <v>43840</v>
      </c>
      <c r="F77" s="3">
        <v>43840</v>
      </c>
      <c r="G77" s="108">
        <f t="shared" si="19"/>
        <v>1</v>
      </c>
      <c r="H77" s="108" t="str">
        <f t="shared" si="20"/>
        <v>완료</v>
      </c>
      <c r="I77" s="112" t="s">
        <v>218</v>
      </c>
      <c r="J77" s="4" t="s">
        <v>118</v>
      </c>
      <c r="K77" s="5" t="s">
        <v>119</v>
      </c>
      <c r="L77" s="6" t="str">
        <f t="shared" si="13"/>
        <v>2T3</v>
      </c>
      <c r="M77" s="13" t="s">
        <v>256</v>
      </c>
      <c r="N77" s="7" t="s">
        <v>3529</v>
      </c>
      <c r="O77" s="13" t="s">
        <v>370</v>
      </c>
      <c r="P77" s="115" t="s">
        <v>371</v>
      </c>
      <c r="Q77" s="8"/>
      <c r="R77" s="2">
        <v>1</v>
      </c>
      <c r="S77" s="9">
        <v>2200</v>
      </c>
      <c r="T77" s="10">
        <f t="shared" si="14"/>
        <v>1100</v>
      </c>
      <c r="U77" s="9">
        <v>30</v>
      </c>
      <c r="V77" s="10">
        <f t="shared" si="15"/>
        <v>1070</v>
      </c>
      <c r="W77" s="4" t="s">
        <v>122</v>
      </c>
      <c r="X77" s="2"/>
      <c r="Y77" s="11">
        <v>2</v>
      </c>
      <c r="Z77" s="12">
        <f t="shared" si="16"/>
        <v>0</v>
      </c>
      <c r="AA77" s="4" t="s">
        <v>27</v>
      </c>
      <c r="AC77" s="176">
        <f t="shared" si="21"/>
        <v>2.7272727272727271E-2</v>
      </c>
    </row>
    <row r="78" spans="1:29" customFormat="1">
      <c r="A78" s="181"/>
      <c r="B78" s="183">
        <f t="shared" si="17"/>
        <v>3</v>
      </c>
      <c r="C78" s="107" t="str">
        <f t="shared" si="18"/>
        <v>ATK</v>
      </c>
      <c r="D78" s="2" t="s">
        <v>458</v>
      </c>
      <c r="E78" s="3">
        <v>43840</v>
      </c>
      <c r="F78" s="3">
        <v>43843</v>
      </c>
      <c r="G78" s="108">
        <f t="shared" si="19"/>
        <v>1</v>
      </c>
      <c r="H78" s="108" t="str">
        <f t="shared" si="20"/>
        <v>완료</v>
      </c>
      <c r="I78" s="112" t="s">
        <v>218</v>
      </c>
      <c r="J78" s="4" t="s">
        <v>121</v>
      </c>
      <c r="K78" s="5" t="s">
        <v>136</v>
      </c>
      <c r="L78" s="6" t="str">
        <f t="shared" si="13"/>
        <v>5T1</v>
      </c>
      <c r="M78" s="13" t="s">
        <v>459</v>
      </c>
      <c r="N78" s="7" t="s">
        <v>3530</v>
      </c>
      <c r="O78" s="13" t="s">
        <v>461</v>
      </c>
      <c r="P78" s="115" t="s">
        <v>460</v>
      </c>
      <c r="Q78" s="8"/>
      <c r="R78" s="2">
        <v>1</v>
      </c>
      <c r="S78" s="9">
        <v>1000</v>
      </c>
      <c r="T78" s="10">
        <f t="shared" si="14"/>
        <v>500</v>
      </c>
      <c r="U78" s="9">
        <v>50</v>
      </c>
      <c r="V78" s="10">
        <f t="shared" si="15"/>
        <v>450</v>
      </c>
      <c r="W78" s="4" t="s">
        <v>122</v>
      </c>
      <c r="X78" s="2"/>
      <c r="Y78" s="11">
        <v>7</v>
      </c>
      <c r="Z78" s="12">
        <f t="shared" si="16"/>
        <v>3</v>
      </c>
      <c r="AA78" s="4" t="s">
        <v>212</v>
      </c>
      <c r="AC78" s="176">
        <f t="shared" si="21"/>
        <v>4.5454545454545456E-2</v>
      </c>
    </row>
    <row r="79" spans="1:29" customFormat="1">
      <c r="A79" s="181"/>
      <c r="B79" s="183">
        <f t="shared" si="17"/>
        <v>3</v>
      </c>
      <c r="C79" s="107" t="str">
        <f t="shared" si="18"/>
        <v>ATK</v>
      </c>
      <c r="D79" s="2" t="s">
        <v>373</v>
      </c>
      <c r="E79" s="3">
        <v>43839</v>
      </c>
      <c r="F79" s="3">
        <v>43843</v>
      </c>
      <c r="G79" s="108">
        <f t="shared" si="19"/>
        <v>1</v>
      </c>
      <c r="H79" s="108" t="str">
        <f t="shared" si="20"/>
        <v>완료</v>
      </c>
      <c r="I79" s="112" t="s">
        <v>218</v>
      </c>
      <c r="J79" s="4" t="s">
        <v>336</v>
      </c>
      <c r="K79" s="5" t="s">
        <v>336</v>
      </c>
      <c r="L79" s="6" t="str">
        <f t="shared" si="13"/>
        <v>PM</v>
      </c>
      <c r="M79" s="13" t="s">
        <v>226</v>
      </c>
      <c r="N79" s="7" t="s">
        <v>140</v>
      </c>
      <c r="O79" s="13" t="s">
        <v>374</v>
      </c>
      <c r="P79" s="115"/>
      <c r="Q79" s="8"/>
      <c r="R79" s="2">
        <v>1</v>
      </c>
      <c r="S79" s="9">
        <v>400</v>
      </c>
      <c r="T79" s="10">
        <f t="shared" si="14"/>
        <v>200</v>
      </c>
      <c r="U79" s="9">
        <v>0</v>
      </c>
      <c r="V79" s="10">
        <f t="shared" si="15"/>
        <v>200</v>
      </c>
      <c r="W79" s="4" t="s">
        <v>122</v>
      </c>
      <c r="X79" s="2"/>
      <c r="Y79" s="11">
        <v>1</v>
      </c>
      <c r="Z79" s="12">
        <f t="shared" si="16"/>
        <v>4</v>
      </c>
      <c r="AA79" s="4" t="s">
        <v>117</v>
      </c>
      <c r="AC79" s="176">
        <f t="shared" si="21"/>
        <v>0</v>
      </c>
    </row>
    <row r="80" spans="1:29" customFormat="1">
      <c r="A80" s="181"/>
      <c r="B80" s="183">
        <f t="shared" si="17"/>
        <v>3</v>
      </c>
      <c r="C80" s="107" t="str">
        <f t="shared" si="18"/>
        <v>ATK</v>
      </c>
      <c r="D80" s="2" t="s">
        <v>463</v>
      </c>
      <c r="E80" s="3">
        <v>43843</v>
      </c>
      <c r="F80" s="3">
        <v>43844</v>
      </c>
      <c r="G80" s="108">
        <f t="shared" si="19"/>
        <v>1</v>
      </c>
      <c r="H80" s="108" t="str">
        <f t="shared" si="20"/>
        <v>완료</v>
      </c>
      <c r="I80" s="112" t="s">
        <v>218</v>
      </c>
      <c r="J80" s="4" t="s">
        <v>132</v>
      </c>
      <c r="K80" s="5" t="s">
        <v>136</v>
      </c>
      <c r="L80" s="6" t="str">
        <f t="shared" si="13"/>
        <v>5T1</v>
      </c>
      <c r="M80" s="13" t="s">
        <v>462</v>
      </c>
      <c r="N80" s="7" t="s">
        <v>3509</v>
      </c>
      <c r="O80" s="7" t="s">
        <v>157</v>
      </c>
      <c r="P80" s="115" t="s">
        <v>477</v>
      </c>
      <c r="Q80" s="8"/>
      <c r="R80" s="2">
        <v>2</v>
      </c>
      <c r="S80" s="9">
        <v>1000</v>
      </c>
      <c r="T80" s="10">
        <f t="shared" si="14"/>
        <v>1000</v>
      </c>
      <c r="U80" s="9">
        <v>50</v>
      </c>
      <c r="V80" s="10">
        <f t="shared" si="15"/>
        <v>950</v>
      </c>
      <c r="W80" s="4" t="s">
        <v>122</v>
      </c>
      <c r="X80" s="2"/>
      <c r="Y80" s="11">
        <v>4</v>
      </c>
      <c r="Z80" s="12">
        <f t="shared" si="16"/>
        <v>1</v>
      </c>
      <c r="AA80" s="4" t="s">
        <v>212</v>
      </c>
      <c r="AC80" s="176">
        <f t="shared" si="21"/>
        <v>4.5454545454545456E-2</v>
      </c>
    </row>
    <row r="81" spans="1:29" customFormat="1">
      <c r="A81" s="181"/>
      <c r="B81" s="183">
        <f t="shared" si="17"/>
        <v>5</v>
      </c>
      <c r="C81" s="107" t="str">
        <f t="shared" si="18"/>
        <v>ATK</v>
      </c>
      <c r="D81" s="2" t="s">
        <v>274</v>
      </c>
      <c r="E81" s="3">
        <v>43843</v>
      </c>
      <c r="F81" s="3">
        <v>43859</v>
      </c>
      <c r="G81" s="108">
        <f t="shared" si="19"/>
        <v>1</v>
      </c>
      <c r="H81" s="108" t="str">
        <f t="shared" si="20"/>
        <v>완료</v>
      </c>
      <c r="I81" s="112" t="s">
        <v>514</v>
      </c>
      <c r="J81" s="4" t="s">
        <v>132</v>
      </c>
      <c r="K81" s="5" t="s">
        <v>143</v>
      </c>
      <c r="L81" s="6" t="str">
        <f t="shared" si="13"/>
        <v>3T4</v>
      </c>
      <c r="M81" s="13" t="s">
        <v>158</v>
      </c>
      <c r="N81" s="7" t="s">
        <v>3517</v>
      </c>
      <c r="O81" s="13" t="s">
        <v>375</v>
      </c>
      <c r="P81" s="115"/>
      <c r="Q81" s="8" t="s">
        <v>376</v>
      </c>
      <c r="R81" s="2">
        <v>1</v>
      </c>
      <c r="S81" s="9">
        <v>1500</v>
      </c>
      <c r="T81" s="10">
        <f t="shared" si="14"/>
        <v>750</v>
      </c>
      <c r="U81" s="9">
        <v>300</v>
      </c>
      <c r="V81" s="10">
        <f t="shared" si="15"/>
        <v>450</v>
      </c>
      <c r="W81" s="4" t="s">
        <v>326</v>
      </c>
      <c r="X81" s="2" t="s">
        <v>39</v>
      </c>
      <c r="Y81" s="11">
        <v>1</v>
      </c>
      <c r="Z81" s="12">
        <f t="shared" si="16"/>
        <v>16</v>
      </c>
      <c r="AA81" s="4" t="s">
        <v>117</v>
      </c>
      <c r="AC81" s="176">
        <f t="shared" si="21"/>
        <v>0.27272727272727271</v>
      </c>
    </row>
    <row r="82" spans="1:29" customFormat="1">
      <c r="A82" s="181"/>
      <c r="B82" s="183">
        <f t="shared" si="17"/>
        <v>5</v>
      </c>
      <c r="C82" s="107" t="str">
        <f t="shared" si="18"/>
        <v>ATK</v>
      </c>
      <c r="D82" s="2" t="s">
        <v>274</v>
      </c>
      <c r="E82" s="3">
        <v>43843</v>
      </c>
      <c r="F82" s="3">
        <v>43859</v>
      </c>
      <c r="G82" s="108">
        <f t="shared" si="19"/>
        <v>1</v>
      </c>
      <c r="H82" s="108" t="str">
        <f t="shared" si="20"/>
        <v>완료</v>
      </c>
      <c r="I82" s="112" t="s">
        <v>514</v>
      </c>
      <c r="J82" s="4" t="s">
        <v>132</v>
      </c>
      <c r="K82" s="5" t="s">
        <v>143</v>
      </c>
      <c r="L82" s="6" t="str">
        <f t="shared" si="13"/>
        <v>3T4</v>
      </c>
      <c r="M82" s="13" t="s">
        <v>158</v>
      </c>
      <c r="N82" s="7" t="s">
        <v>3517</v>
      </c>
      <c r="O82" s="13" t="s">
        <v>375</v>
      </c>
      <c r="P82" s="115"/>
      <c r="Q82" s="8" t="s">
        <v>377</v>
      </c>
      <c r="R82" s="2">
        <v>1</v>
      </c>
      <c r="S82" s="9">
        <v>1500</v>
      </c>
      <c r="T82" s="10">
        <f t="shared" si="14"/>
        <v>750</v>
      </c>
      <c r="U82" s="9">
        <v>300</v>
      </c>
      <c r="V82" s="10">
        <f t="shared" si="15"/>
        <v>450</v>
      </c>
      <c r="W82" s="4" t="s">
        <v>326</v>
      </c>
      <c r="X82" s="2" t="s">
        <v>39</v>
      </c>
      <c r="Y82" s="11">
        <v>1</v>
      </c>
      <c r="Z82" s="12">
        <f t="shared" si="16"/>
        <v>16</v>
      </c>
      <c r="AA82" s="4" t="s">
        <v>117</v>
      </c>
      <c r="AC82" s="176">
        <f t="shared" si="21"/>
        <v>0.27272727272727271</v>
      </c>
    </row>
    <row r="83" spans="1:29" customFormat="1">
      <c r="A83" s="181"/>
      <c r="B83" s="183">
        <f t="shared" si="17"/>
        <v>5</v>
      </c>
      <c r="C83" s="107" t="str">
        <f t="shared" si="18"/>
        <v>ATK</v>
      </c>
      <c r="D83" s="2" t="s">
        <v>274</v>
      </c>
      <c r="E83" s="3">
        <v>43843</v>
      </c>
      <c r="F83" s="3">
        <v>43859</v>
      </c>
      <c r="G83" s="108">
        <f t="shared" si="19"/>
        <v>1</v>
      </c>
      <c r="H83" s="108" t="str">
        <f t="shared" si="20"/>
        <v>완료</v>
      </c>
      <c r="I83" s="112" t="s">
        <v>514</v>
      </c>
      <c r="J83" s="4" t="s">
        <v>132</v>
      </c>
      <c r="K83" s="5" t="s">
        <v>143</v>
      </c>
      <c r="L83" s="6" t="str">
        <f t="shared" si="13"/>
        <v>3T4</v>
      </c>
      <c r="M83" s="13" t="s">
        <v>158</v>
      </c>
      <c r="N83" s="7" t="s">
        <v>3517</v>
      </c>
      <c r="O83" s="13" t="s">
        <v>375</v>
      </c>
      <c r="P83" s="115"/>
      <c r="Q83" s="8" t="s">
        <v>378</v>
      </c>
      <c r="R83" s="2">
        <v>1</v>
      </c>
      <c r="S83" s="9">
        <v>1500</v>
      </c>
      <c r="T83" s="10">
        <f t="shared" si="14"/>
        <v>750</v>
      </c>
      <c r="U83" s="9">
        <v>300</v>
      </c>
      <c r="V83" s="10">
        <f t="shared" si="15"/>
        <v>450</v>
      </c>
      <c r="W83" s="4" t="s">
        <v>326</v>
      </c>
      <c r="X83" s="2" t="s">
        <v>39</v>
      </c>
      <c r="Y83" s="11">
        <v>1</v>
      </c>
      <c r="Z83" s="12">
        <f t="shared" si="16"/>
        <v>16</v>
      </c>
      <c r="AA83" s="4" t="s">
        <v>117</v>
      </c>
      <c r="AC83" s="176">
        <f t="shared" si="21"/>
        <v>0.27272727272727271</v>
      </c>
    </row>
    <row r="84" spans="1:29" customFormat="1">
      <c r="A84" s="181"/>
      <c r="B84" s="183">
        <f t="shared" si="17"/>
        <v>3</v>
      </c>
      <c r="C84" s="107" t="str">
        <f t="shared" si="18"/>
        <v>ATK</v>
      </c>
      <c r="D84" s="2" t="s">
        <v>379</v>
      </c>
      <c r="E84" s="3">
        <v>43813</v>
      </c>
      <c r="F84" s="3">
        <v>43843</v>
      </c>
      <c r="G84" s="108">
        <f t="shared" si="19"/>
        <v>1</v>
      </c>
      <c r="H84" s="108" t="str">
        <f t="shared" si="20"/>
        <v>완료</v>
      </c>
      <c r="I84" s="112" t="s">
        <v>264</v>
      </c>
      <c r="J84" s="4" t="s">
        <v>132</v>
      </c>
      <c r="K84" s="5" t="s">
        <v>322</v>
      </c>
      <c r="L84" s="6" t="str">
        <f t="shared" si="13"/>
        <v>3T1</v>
      </c>
      <c r="M84" s="13" t="s">
        <v>140</v>
      </c>
      <c r="N84" s="7" t="s">
        <v>3531</v>
      </c>
      <c r="O84" s="13" t="s">
        <v>380</v>
      </c>
      <c r="P84" s="115" t="s">
        <v>381</v>
      </c>
      <c r="Q84" s="8"/>
      <c r="R84" s="2">
        <v>1</v>
      </c>
      <c r="S84" s="9">
        <v>450</v>
      </c>
      <c r="T84" s="10">
        <f t="shared" si="14"/>
        <v>225</v>
      </c>
      <c r="U84" s="9">
        <v>1</v>
      </c>
      <c r="V84" s="10">
        <f t="shared" si="15"/>
        <v>224</v>
      </c>
      <c r="W84" s="4" t="s">
        <v>249</v>
      </c>
      <c r="X84" s="2"/>
      <c r="Y84" s="11">
        <v>2</v>
      </c>
      <c r="Z84" s="12">
        <f t="shared" si="16"/>
        <v>30</v>
      </c>
      <c r="AA84" s="4" t="s">
        <v>27</v>
      </c>
      <c r="AC84" s="176">
        <f t="shared" si="21"/>
        <v>9.0909090909090909E-4</v>
      </c>
    </row>
    <row r="85" spans="1:29" customFormat="1">
      <c r="A85" s="181"/>
      <c r="B85" s="183">
        <f t="shared" si="17"/>
        <v>3</v>
      </c>
      <c r="C85" s="107" t="str">
        <f t="shared" si="18"/>
        <v>ATK</v>
      </c>
      <c r="D85" s="2" t="s">
        <v>382</v>
      </c>
      <c r="E85" s="3">
        <v>43843</v>
      </c>
      <c r="F85" s="3">
        <v>43843</v>
      </c>
      <c r="G85" s="108">
        <f t="shared" si="19"/>
        <v>1</v>
      </c>
      <c r="H85" s="108" t="str">
        <f t="shared" si="20"/>
        <v>완료</v>
      </c>
      <c r="I85" s="112" t="s">
        <v>218</v>
      </c>
      <c r="J85" s="4" t="s">
        <v>139</v>
      </c>
      <c r="K85" s="5" t="s">
        <v>466</v>
      </c>
      <c r="L85" s="6" t="str">
        <f t="shared" si="13"/>
        <v>6T2</v>
      </c>
      <c r="M85" s="13" t="s">
        <v>467</v>
      </c>
      <c r="N85" s="7" t="s">
        <v>3512</v>
      </c>
      <c r="O85" s="13" t="s">
        <v>383</v>
      </c>
      <c r="P85" s="115"/>
      <c r="Q85" s="8"/>
      <c r="R85" s="2">
        <v>2</v>
      </c>
      <c r="S85" s="9">
        <v>1500</v>
      </c>
      <c r="T85" s="10">
        <f t="shared" si="14"/>
        <v>1500</v>
      </c>
      <c r="U85" s="9"/>
      <c r="V85" s="10">
        <f t="shared" si="15"/>
        <v>1500</v>
      </c>
      <c r="W85" s="4" t="s">
        <v>122</v>
      </c>
      <c r="X85" s="2"/>
      <c r="Y85" s="11">
        <v>8</v>
      </c>
      <c r="Z85" s="12">
        <f t="shared" si="16"/>
        <v>0</v>
      </c>
      <c r="AA85" s="4" t="s">
        <v>259</v>
      </c>
      <c r="AC85" s="176">
        <f t="shared" si="21"/>
        <v>0</v>
      </c>
    </row>
    <row r="86" spans="1:29" customFormat="1">
      <c r="A86" s="181"/>
      <c r="B86" s="183">
        <f t="shared" si="17"/>
        <v>3</v>
      </c>
      <c r="C86" s="107" t="str">
        <f t="shared" si="18"/>
        <v>ATP</v>
      </c>
      <c r="D86" s="188" t="s">
        <v>141</v>
      </c>
      <c r="E86" s="3">
        <v>43843</v>
      </c>
      <c r="F86" s="3">
        <v>43846</v>
      </c>
      <c r="G86" s="108">
        <f t="shared" si="19"/>
        <v>1</v>
      </c>
      <c r="H86" s="108" t="str">
        <f t="shared" si="20"/>
        <v>완료</v>
      </c>
      <c r="I86" s="112" t="s">
        <v>218</v>
      </c>
      <c r="J86" s="4" t="s">
        <v>24</v>
      </c>
      <c r="K86" s="5" t="s">
        <v>24</v>
      </c>
      <c r="L86" s="6" t="str">
        <f t="shared" si="13"/>
        <v>ATP</v>
      </c>
      <c r="M86" s="13" t="s">
        <v>399</v>
      </c>
      <c r="N86" s="7" t="s">
        <v>193</v>
      </c>
      <c r="O86" s="196" t="s">
        <v>2185</v>
      </c>
      <c r="P86" s="115" t="s">
        <v>420</v>
      </c>
      <c r="Q86" s="8" t="s">
        <v>425</v>
      </c>
      <c r="R86" s="2">
        <v>1</v>
      </c>
      <c r="S86" s="9">
        <v>469.8</v>
      </c>
      <c r="T86" s="10">
        <f t="shared" si="14"/>
        <v>234.9</v>
      </c>
      <c r="U86" s="9">
        <v>20</v>
      </c>
      <c r="V86" s="10">
        <f t="shared" si="15"/>
        <v>214.9</v>
      </c>
      <c r="W86" s="4" t="s">
        <v>122</v>
      </c>
      <c r="X86" s="2"/>
      <c r="Y86" s="11">
        <v>2</v>
      </c>
      <c r="Z86" s="12">
        <f t="shared" si="16"/>
        <v>3</v>
      </c>
      <c r="AA86" s="4" t="s">
        <v>117</v>
      </c>
      <c r="AC86" s="176">
        <f t="shared" si="21"/>
        <v>1.8181818181818181E-2</v>
      </c>
    </row>
    <row r="87" spans="1:29" customFormat="1">
      <c r="A87" s="181"/>
      <c r="B87" s="183">
        <f t="shared" si="17"/>
        <v>3</v>
      </c>
      <c r="C87" s="107" t="str">
        <f t="shared" si="18"/>
        <v>ATP</v>
      </c>
      <c r="D87" s="188" t="s">
        <v>141</v>
      </c>
      <c r="E87" s="3">
        <v>43843</v>
      </c>
      <c r="F87" s="3">
        <v>43846</v>
      </c>
      <c r="G87" s="108">
        <f t="shared" si="19"/>
        <v>1</v>
      </c>
      <c r="H87" s="108" t="str">
        <f t="shared" si="20"/>
        <v>완료</v>
      </c>
      <c r="I87" s="112" t="s">
        <v>218</v>
      </c>
      <c r="J87" s="4" t="s">
        <v>24</v>
      </c>
      <c r="K87" s="5" t="s">
        <v>24</v>
      </c>
      <c r="L87" s="6" t="str">
        <f t="shared" si="13"/>
        <v>ATP</v>
      </c>
      <c r="M87" s="13" t="s">
        <v>399</v>
      </c>
      <c r="N87" s="7" t="s">
        <v>193</v>
      </c>
      <c r="O87" s="196" t="s">
        <v>2185</v>
      </c>
      <c r="P87" s="115" t="s">
        <v>420</v>
      </c>
      <c r="Q87" s="8" t="s">
        <v>426</v>
      </c>
      <c r="R87" s="2">
        <v>1</v>
      </c>
      <c r="S87" s="9">
        <v>469.8</v>
      </c>
      <c r="T87" s="10">
        <f t="shared" si="14"/>
        <v>234.9</v>
      </c>
      <c r="U87" s="9">
        <v>20</v>
      </c>
      <c r="V87" s="10">
        <f t="shared" si="15"/>
        <v>214.9</v>
      </c>
      <c r="W87" s="4" t="s">
        <v>122</v>
      </c>
      <c r="X87" s="2"/>
      <c r="Y87" s="11">
        <v>2</v>
      </c>
      <c r="Z87" s="12">
        <f t="shared" si="16"/>
        <v>3</v>
      </c>
      <c r="AA87" s="4" t="s">
        <v>117</v>
      </c>
      <c r="AC87" s="176">
        <f t="shared" si="21"/>
        <v>1.8181818181818181E-2</v>
      </c>
    </row>
    <row r="88" spans="1:29" customFormat="1">
      <c r="A88" s="181"/>
      <c r="B88" s="183">
        <f t="shared" si="17"/>
        <v>3</v>
      </c>
      <c r="C88" s="107" t="str">
        <f t="shared" si="18"/>
        <v>ATP</v>
      </c>
      <c r="D88" s="188" t="s">
        <v>141</v>
      </c>
      <c r="E88" s="3">
        <v>43843</v>
      </c>
      <c r="F88" s="3">
        <v>43846</v>
      </c>
      <c r="G88" s="108">
        <f t="shared" si="19"/>
        <v>1</v>
      </c>
      <c r="H88" s="108" t="str">
        <f t="shared" si="20"/>
        <v>완료</v>
      </c>
      <c r="I88" s="112" t="s">
        <v>218</v>
      </c>
      <c r="J88" s="4" t="s">
        <v>24</v>
      </c>
      <c r="K88" s="5" t="s">
        <v>24</v>
      </c>
      <c r="L88" s="6" t="str">
        <f t="shared" si="13"/>
        <v>ATP</v>
      </c>
      <c r="M88" s="13" t="s">
        <v>399</v>
      </c>
      <c r="N88" s="7" t="s">
        <v>193</v>
      </c>
      <c r="O88" s="196" t="s">
        <v>2185</v>
      </c>
      <c r="P88" s="115" t="s">
        <v>405</v>
      </c>
      <c r="Q88" s="8" t="s">
        <v>427</v>
      </c>
      <c r="R88" s="2">
        <v>1</v>
      </c>
      <c r="S88" s="9">
        <v>469.8</v>
      </c>
      <c r="T88" s="10">
        <f t="shared" si="14"/>
        <v>234.9</v>
      </c>
      <c r="U88" s="9">
        <v>20</v>
      </c>
      <c r="V88" s="10">
        <f t="shared" si="15"/>
        <v>214.9</v>
      </c>
      <c r="W88" s="4" t="s">
        <v>122</v>
      </c>
      <c r="X88" s="2"/>
      <c r="Y88" s="11">
        <v>2</v>
      </c>
      <c r="Z88" s="12">
        <f t="shared" si="16"/>
        <v>3</v>
      </c>
      <c r="AA88" s="4" t="s">
        <v>117</v>
      </c>
      <c r="AC88" s="176">
        <f t="shared" si="21"/>
        <v>1.8181818181818181E-2</v>
      </c>
    </row>
    <row r="89" spans="1:29" customFormat="1">
      <c r="A89" s="181"/>
      <c r="B89" s="183">
        <f t="shared" si="17"/>
        <v>8</v>
      </c>
      <c r="C89" s="107" t="str">
        <f t="shared" si="18"/>
        <v>ATP</v>
      </c>
      <c r="D89" s="188" t="s">
        <v>141</v>
      </c>
      <c r="E89" s="3">
        <v>43843</v>
      </c>
      <c r="F89" s="3">
        <v>43878</v>
      </c>
      <c r="G89" s="108">
        <f t="shared" si="19"/>
        <v>2</v>
      </c>
      <c r="H89" s="108" t="str">
        <f t="shared" si="20"/>
        <v>완료</v>
      </c>
      <c r="I89" s="112" t="s">
        <v>218</v>
      </c>
      <c r="J89" s="4" t="s">
        <v>24</v>
      </c>
      <c r="K89" s="5" t="s">
        <v>24</v>
      </c>
      <c r="L89" s="6" t="str">
        <f t="shared" si="13"/>
        <v>ATP</v>
      </c>
      <c r="M89" s="13" t="s">
        <v>400</v>
      </c>
      <c r="N89" s="7" t="s">
        <v>3532</v>
      </c>
      <c r="O89" s="13" t="s">
        <v>384</v>
      </c>
      <c r="P89" s="115" t="s">
        <v>406</v>
      </c>
      <c r="Q89" s="8" t="s">
        <v>428</v>
      </c>
      <c r="R89" s="2">
        <v>1</v>
      </c>
      <c r="S89" s="9">
        <v>5800</v>
      </c>
      <c r="T89" s="10">
        <f t="shared" si="14"/>
        <v>2900</v>
      </c>
      <c r="U89" s="9">
        <v>0</v>
      </c>
      <c r="V89" s="10">
        <f t="shared" si="15"/>
        <v>2900</v>
      </c>
      <c r="W89" s="4" t="s">
        <v>122</v>
      </c>
      <c r="X89" s="2"/>
      <c r="Y89" s="11">
        <v>3</v>
      </c>
      <c r="Z89" s="12">
        <f t="shared" si="16"/>
        <v>35</v>
      </c>
      <c r="AA89" s="4" t="s">
        <v>117</v>
      </c>
      <c r="AC89" s="176">
        <f t="shared" si="21"/>
        <v>0</v>
      </c>
    </row>
    <row r="90" spans="1:29" customFormat="1">
      <c r="A90" s="181"/>
      <c r="B90" s="183">
        <f t="shared" si="17"/>
        <v>4</v>
      </c>
      <c r="C90" s="107" t="str">
        <f t="shared" si="18"/>
        <v>ATP</v>
      </c>
      <c r="D90" s="188" t="s">
        <v>141</v>
      </c>
      <c r="E90" s="3">
        <v>43843</v>
      </c>
      <c r="F90" s="3">
        <v>43853</v>
      </c>
      <c r="G90" s="108">
        <f t="shared" si="19"/>
        <v>1</v>
      </c>
      <c r="H90" s="108" t="str">
        <f t="shared" si="20"/>
        <v>수리불가</v>
      </c>
      <c r="I90" s="112" t="s">
        <v>601</v>
      </c>
      <c r="J90" s="4" t="s">
        <v>24</v>
      </c>
      <c r="K90" s="5" t="s">
        <v>24</v>
      </c>
      <c r="L90" s="6" t="str">
        <f t="shared" si="13"/>
        <v>ATP</v>
      </c>
      <c r="M90" s="13" t="s">
        <v>401</v>
      </c>
      <c r="N90" s="7" t="s">
        <v>3533</v>
      </c>
      <c r="O90" s="13" t="s">
        <v>385</v>
      </c>
      <c r="P90" s="115" t="s">
        <v>606</v>
      </c>
      <c r="Q90" s="8" t="s">
        <v>429</v>
      </c>
      <c r="R90" s="2">
        <v>1</v>
      </c>
      <c r="S90" s="9">
        <v>3480</v>
      </c>
      <c r="T90" s="10">
        <f t="shared" si="14"/>
        <v>1740</v>
      </c>
      <c r="U90" s="9">
        <v>30</v>
      </c>
      <c r="V90" s="10">
        <f t="shared" si="15"/>
        <v>1710</v>
      </c>
      <c r="W90" s="4" t="s">
        <v>122</v>
      </c>
      <c r="X90" s="2"/>
      <c r="Y90" s="11">
        <v>5</v>
      </c>
      <c r="Z90" s="12">
        <f t="shared" si="16"/>
        <v>10</v>
      </c>
      <c r="AA90" s="4" t="s">
        <v>117</v>
      </c>
      <c r="AC90" s="176">
        <f t="shared" si="21"/>
        <v>2.7272727272727271E-2</v>
      </c>
    </row>
    <row r="91" spans="1:29" customFormat="1">
      <c r="A91" s="181"/>
      <c r="B91" s="183">
        <f t="shared" si="17"/>
        <v>8</v>
      </c>
      <c r="C91" s="107" t="str">
        <f t="shared" si="18"/>
        <v>ATP</v>
      </c>
      <c r="D91" s="188" t="s">
        <v>141</v>
      </c>
      <c r="E91" s="3">
        <v>43843</v>
      </c>
      <c r="F91" s="3">
        <v>43878</v>
      </c>
      <c r="G91" s="108">
        <f t="shared" si="19"/>
        <v>2</v>
      </c>
      <c r="H91" s="108" t="str">
        <f t="shared" si="20"/>
        <v>완료</v>
      </c>
      <c r="I91" s="112" t="s">
        <v>218</v>
      </c>
      <c r="J91" s="4" t="s">
        <v>24</v>
      </c>
      <c r="K91" s="5" t="s">
        <v>24</v>
      </c>
      <c r="L91" s="6" t="str">
        <f t="shared" si="13"/>
        <v>ATP</v>
      </c>
      <c r="M91" s="13" t="s">
        <v>256</v>
      </c>
      <c r="N91" s="7" t="s">
        <v>3478</v>
      </c>
      <c r="O91" s="13" t="s">
        <v>386</v>
      </c>
      <c r="P91" s="115" t="s">
        <v>509</v>
      </c>
      <c r="Q91" s="8">
        <v>101115738</v>
      </c>
      <c r="R91" s="2">
        <v>1</v>
      </c>
      <c r="S91" s="9">
        <v>3480</v>
      </c>
      <c r="T91" s="10">
        <f t="shared" si="14"/>
        <v>1740</v>
      </c>
      <c r="U91" s="9">
        <v>90</v>
      </c>
      <c r="V91" s="10">
        <f t="shared" si="15"/>
        <v>1650</v>
      </c>
      <c r="W91" s="4" t="s">
        <v>122</v>
      </c>
      <c r="X91" s="2"/>
      <c r="Y91" s="11">
        <v>2</v>
      </c>
      <c r="Z91" s="12">
        <f t="shared" si="16"/>
        <v>35</v>
      </c>
      <c r="AA91" s="4" t="s">
        <v>259</v>
      </c>
      <c r="AC91" s="176">
        <f t="shared" si="21"/>
        <v>8.1818181818181818E-2</v>
      </c>
    </row>
    <row r="92" spans="1:29" customFormat="1">
      <c r="A92" s="181"/>
      <c r="B92" s="183">
        <f t="shared" si="17"/>
        <v>7</v>
      </c>
      <c r="C92" s="107" t="str">
        <f t="shared" si="18"/>
        <v>ATP</v>
      </c>
      <c r="D92" s="188" t="s">
        <v>141</v>
      </c>
      <c r="E92" s="3">
        <v>43843</v>
      </c>
      <c r="F92" s="3">
        <v>43874</v>
      </c>
      <c r="G92" s="108">
        <f t="shared" si="19"/>
        <v>2</v>
      </c>
      <c r="H92" s="108" t="str">
        <f t="shared" si="20"/>
        <v>수리불가</v>
      </c>
      <c r="I92" s="112" t="s">
        <v>670</v>
      </c>
      <c r="J92" s="4" t="s">
        <v>24</v>
      </c>
      <c r="K92" s="5" t="s">
        <v>24</v>
      </c>
      <c r="L92" s="6" t="str">
        <f t="shared" si="13"/>
        <v>ATP</v>
      </c>
      <c r="M92" s="13" t="s">
        <v>402</v>
      </c>
      <c r="N92" s="7" t="s">
        <v>3534</v>
      </c>
      <c r="O92" s="13" t="s">
        <v>387</v>
      </c>
      <c r="P92" s="115" t="s">
        <v>421</v>
      </c>
      <c r="Q92" s="8">
        <v>36403908</v>
      </c>
      <c r="R92" s="2">
        <v>1</v>
      </c>
      <c r="S92" s="9">
        <v>11600</v>
      </c>
      <c r="T92" s="10">
        <f t="shared" si="14"/>
        <v>5800</v>
      </c>
      <c r="U92" s="9">
        <v>0</v>
      </c>
      <c r="V92" s="10">
        <f t="shared" si="15"/>
        <v>5800</v>
      </c>
      <c r="W92" s="4" t="s">
        <v>326</v>
      </c>
      <c r="X92" s="2" t="s">
        <v>39</v>
      </c>
      <c r="Y92" s="11">
        <v>1</v>
      </c>
      <c r="Z92" s="12">
        <f t="shared" si="16"/>
        <v>31</v>
      </c>
      <c r="AA92" s="4" t="s">
        <v>117</v>
      </c>
      <c r="AC92" s="176">
        <f t="shared" si="21"/>
        <v>0</v>
      </c>
    </row>
    <row r="93" spans="1:29" customFormat="1">
      <c r="A93" s="181"/>
      <c r="B93" s="183">
        <f t="shared" si="17"/>
        <v>3</v>
      </c>
      <c r="C93" s="107" t="str">
        <f t="shared" si="18"/>
        <v>ATP</v>
      </c>
      <c r="D93" s="188" t="s">
        <v>141</v>
      </c>
      <c r="E93" s="3">
        <v>43843</v>
      </c>
      <c r="F93" s="3">
        <v>43846</v>
      </c>
      <c r="G93" s="108">
        <f t="shared" si="19"/>
        <v>1</v>
      </c>
      <c r="H93" s="108" t="str">
        <f t="shared" si="20"/>
        <v>완료</v>
      </c>
      <c r="I93" s="112" t="s">
        <v>218</v>
      </c>
      <c r="J93" s="4" t="s">
        <v>24</v>
      </c>
      <c r="K93" s="5" t="s">
        <v>24</v>
      </c>
      <c r="L93" s="6" t="str">
        <f t="shared" si="13"/>
        <v>ATP</v>
      </c>
      <c r="M93" s="13" t="s">
        <v>256</v>
      </c>
      <c r="N93" s="7" t="s">
        <v>3535</v>
      </c>
      <c r="O93" s="13" t="s">
        <v>388</v>
      </c>
      <c r="P93" s="115" t="s">
        <v>422</v>
      </c>
      <c r="Q93" s="8" t="s">
        <v>430</v>
      </c>
      <c r="R93" s="2">
        <v>1</v>
      </c>
      <c r="S93" s="9">
        <v>4640</v>
      </c>
      <c r="T93" s="10">
        <f t="shared" si="14"/>
        <v>2320</v>
      </c>
      <c r="U93" s="9">
        <v>50</v>
      </c>
      <c r="V93" s="10">
        <f t="shared" si="15"/>
        <v>2270</v>
      </c>
      <c r="W93" s="4" t="s">
        <v>249</v>
      </c>
      <c r="X93" s="2"/>
      <c r="Y93" s="11">
        <v>4</v>
      </c>
      <c r="Z93" s="12">
        <f t="shared" si="16"/>
        <v>3</v>
      </c>
      <c r="AA93" s="4" t="s">
        <v>27</v>
      </c>
      <c r="AC93" s="176">
        <f t="shared" si="21"/>
        <v>4.5454545454545456E-2</v>
      </c>
    </row>
    <row r="94" spans="1:29" customFormat="1">
      <c r="A94" s="181"/>
      <c r="B94" s="183">
        <f t="shared" si="17"/>
        <v>4</v>
      </c>
      <c r="C94" s="107" t="str">
        <f t="shared" si="18"/>
        <v>ATP</v>
      </c>
      <c r="D94" s="188" t="s">
        <v>141</v>
      </c>
      <c r="E94" s="3">
        <v>43843</v>
      </c>
      <c r="F94" s="3">
        <v>43850</v>
      </c>
      <c r="G94" s="108">
        <f t="shared" si="19"/>
        <v>1</v>
      </c>
      <c r="H94" s="108" t="str">
        <f t="shared" si="20"/>
        <v>완료</v>
      </c>
      <c r="I94" s="112" t="s">
        <v>218</v>
      </c>
      <c r="J94" s="4" t="s">
        <v>24</v>
      </c>
      <c r="K94" s="5" t="s">
        <v>24</v>
      </c>
      <c r="L94" s="6" t="str">
        <f t="shared" si="13"/>
        <v>ATP</v>
      </c>
      <c r="M94" s="13" t="s">
        <v>256</v>
      </c>
      <c r="N94" s="7" t="s">
        <v>3535</v>
      </c>
      <c r="O94" s="13" t="s">
        <v>388</v>
      </c>
      <c r="P94" s="115" t="s">
        <v>407</v>
      </c>
      <c r="Q94" s="8" t="s">
        <v>431</v>
      </c>
      <c r="R94" s="2">
        <v>1</v>
      </c>
      <c r="S94" s="9">
        <v>4640</v>
      </c>
      <c r="T94" s="10">
        <f t="shared" si="14"/>
        <v>2320</v>
      </c>
      <c r="U94" s="9">
        <v>50</v>
      </c>
      <c r="V94" s="10">
        <f t="shared" si="15"/>
        <v>2270</v>
      </c>
      <c r="W94" s="4" t="s">
        <v>249</v>
      </c>
      <c r="X94" s="2"/>
      <c r="Y94" s="11">
        <v>4</v>
      </c>
      <c r="Z94" s="12">
        <f t="shared" si="16"/>
        <v>7</v>
      </c>
      <c r="AA94" s="4" t="s">
        <v>27</v>
      </c>
      <c r="AC94" s="176">
        <f t="shared" si="21"/>
        <v>4.5454545454545456E-2</v>
      </c>
    </row>
    <row r="95" spans="1:29" customFormat="1">
      <c r="A95" s="181"/>
      <c r="B95" s="183">
        <f t="shared" si="17"/>
        <v>3</v>
      </c>
      <c r="C95" s="107" t="str">
        <f t="shared" si="18"/>
        <v>ATP</v>
      </c>
      <c r="D95" s="188" t="s">
        <v>141</v>
      </c>
      <c r="E95" s="3">
        <v>43843</v>
      </c>
      <c r="F95" s="3">
        <v>43846</v>
      </c>
      <c r="G95" s="108">
        <f t="shared" si="19"/>
        <v>1</v>
      </c>
      <c r="H95" s="108" t="str">
        <f t="shared" si="20"/>
        <v>완료</v>
      </c>
      <c r="I95" s="112" t="s">
        <v>218</v>
      </c>
      <c r="J95" s="4" t="s">
        <v>24</v>
      </c>
      <c r="K95" s="5" t="s">
        <v>24</v>
      </c>
      <c r="L95" s="6" t="str">
        <f t="shared" si="13"/>
        <v>ATP</v>
      </c>
      <c r="M95" s="13" t="s">
        <v>256</v>
      </c>
      <c r="N95" s="7" t="s">
        <v>3535</v>
      </c>
      <c r="O95" s="13" t="s">
        <v>389</v>
      </c>
      <c r="P95" s="115" t="s">
        <v>408</v>
      </c>
      <c r="Q95" s="8" t="s">
        <v>432</v>
      </c>
      <c r="R95" s="2">
        <v>1</v>
      </c>
      <c r="S95" s="9">
        <v>1948.8</v>
      </c>
      <c r="T95" s="10">
        <f t="shared" si="14"/>
        <v>974.4</v>
      </c>
      <c r="U95" s="9">
        <v>50</v>
      </c>
      <c r="V95" s="10">
        <f t="shared" si="15"/>
        <v>924.4</v>
      </c>
      <c r="W95" s="4" t="s">
        <v>485</v>
      </c>
      <c r="X95" s="2"/>
      <c r="Y95" s="11">
        <v>3</v>
      </c>
      <c r="Z95" s="12">
        <f t="shared" si="16"/>
        <v>3</v>
      </c>
      <c r="AA95" s="4" t="s">
        <v>484</v>
      </c>
      <c r="AC95" s="176">
        <f t="shared" si="21"/>
        <v>4.5454545454545456E-2</v>
      </c>
    </row>
    <row r="96" spans="1:29" customFormat="1">
      <c r="A96" s="181"/>
      <c r="B96" s="183">
        <f t="shared" si="17"/>
        <v>8</v>
      </c>
      <c r="C96" s="107" t="str">
        <f t="shared" si="18"/>
        <v>ATP</v>
      </c>
      <c r="D96" s="188" t="s">
        <v>141</v>
      </c>
      <c r="E96" s="3">
        <v>43843</v>
      </c>
      <c r="F96" s="3">
        <v>43880</v>
      </c>
      <c r="G96" s="108">
        <f t="shared" si="19"/>
        <v>2</v>
      </c>
      <c r="H96" s="108" t="str">
        <f t="shared" si="20"/>
        <v>완료</v>
      </c>
      <c r="I96" s="112" t="s">
        <v>218</v>
      </c>
      <c r="J96" s="4" t="s">
        <v>24</v>
      </c>
      <c r="K96" s="5" t="s">
        <v>24</v>
      </c>
      <c r="L96" s="6" t="str">
        <f t="shared" si="13"/>
        <v>ATP</v>
      </c>
      <c r="M96" s="13" t="s">
        <v>256</v>
      </c>
      <c r="N96" s="7" t="s">
        <v>3535</v>
      </c>
      <c r="O96" s="13" t="s">
        <v>389</v>
      </c>
      <c r="P96" s="115" t="s">
        <v>408</v>
      </c>
      <c r="Q96" s="8" t="s">
        <v>433</v>
      </c>
      <c r="R96" s="2">
        <v>1</v>
      </c>
      <c r="S96" s="9">
        <v>1948.8</v>
      </c>
      <c r="T96" s="10">
        <f t="shared" si="14"/>
        <v>974.4</v>
      </c>
      <c r="U96" s="9">
        <v>50</v>
      </c>
      <c r="V96" s="10">
        <f t="shared" si="15"/>
        <v>924.4</v>
      </c>
      <c r="W96" s="4" t="s">
        <v>489</v>
      </c>
      <c r="X96" s="2"/>
      <c r="Y96" s="11">
        <v>3</v>
      </c>
      <c r="Z96" s="12">
        <f t="shared" si="16"/>
        <v>37</v>
      </c>
      <c r="AA96" s="4" t="s">
        <v>490</v>
      </c>
      <c r="AC96" s="176">
        <f t="shared" si="21"/>
        <v>4.5454545454545456E-2</v>
      </c>
    </row>
    <row r="97" spans="1:29" customFormat="1">
      <c r="A97" s="181"/>
      <c r="B97" s="183">
        <f t="shared" si="17"/>
        <v>8</v>
      </c>
      <c r="C97" s="107" t="str">
        <f t="shared" si="18"/>
        <v>ATP</v>
      </c>
      <c r="D97" s="188" t="s">
        <v>141</v>
      </c>
      <c r="E97" s="3">
        <v>43843</v>
      </c>
      <c r="F97" s="3">
        <v>43880</v>
      </c>
      <c r="G97" s="108">
        <f t="shared" si="19"/>
        <v>2</v>
      </c>
      <c r="H97" s="108" t="str">
        <f t="shared" si="20"/>
        <v>완료</v>
      </c>
      <c r="I97" s="112" t="s">
        <v>218</v>
      </c>
      <c r="J97" s="4" t="s">
        <v>24</v>
      </c>
      <c r="K97" s="5" t="s">
        <v>24</v>
      </c>
      <c r="L97" s="6" t="str">
        <f t="shared" si="13"/>
        <v>ATP</v>
      </c>
      <c r="M97" s="13" t="s">
        <v>256</v>
      </c>
      <c r="N97" s="7" t="s">
        <v>3535</v>
      </c>
      <c r="O97" s="13" t="s">
        <v>389</v>
      </c>
      <c r="P97" s="115" t="s">
        <v>408</v>
      </c>
      <c r="Q97" s="8" t="s">
        <v>434</v>
      </c>
      <c r="R97" s="2">
        <v>1</v>
      </c>
      <c r="S97" s="9">
        <v>1948.8</v>
      </c>
      <c r="T97" s="10">
        <f t="shared" si="14"/>
        <v>974.4</v>
      </c>
      <c r="U97" s="9">
        <v>50</v>
      </c>
      <c r="V97" s="10">
        <f t="shared" si="15"/>
        <v>924.4</v>
      </c>
      <c r="W97" s="4" t="s">
        <v>900</v>
      </c>
      <c r="X97" s="2"/>
      <c r="Y97" s="11">
        <v>1</v>
      </c>
      <c r="Z97" s="12">
        <f t="shared" si="16"/>
        <v>37</v>
      </c>
      <c r="AA97" s="4" t="s">
        <v>901</v>
      </c>
      <c r="AC97" s="176">
        <f t="shared" si="21"/>
        <v>4.5454545454545456E-2</v>
      </c>
    </row>
    <row r="98" spans="1:29" customFormat="1">
      <c r="A98" s="181"/>
      <c r="B98" s="183">
        <f t="shared" si="17"/>
        <v>8</v>
      </c>
      <c r="C98" s="107" t="str">
        <f t="shared" si="18"/>
        <v>ATP</v>
      </c>
      <c r="D98" s="188" t="s">
        <v>141</v>
      </c>
      <c r="E98" s="3">
        <v>43843</v>
      </c>
      <c r="F98" s="3">
        <v>43880</v>
      </c>
      <c r="G98" s="108">
        <f t="shared" si="19"/>
        <v>2</v>
      </c>
      <c r="H98" s="108" t="str">
        <f t="shared" si="20"/>
        <v>완료</v>
      </c>
      <c r="I98" s="112" t="s">
        <v>218</v>
      </c>
      <c r="J98" s="4" t="s">
        <v>24</v>
      </c>
      <c r="K98" s="5" t="s">
        <v>24</v>
      </c>
      <c r="L98" s="6" t="str">
        <f t="shared" si="13"/>
        <v>ATP</v>
      </c>
      <c r="M98" s="13" t="s">
        <v>256</v>
      </c>
      <c r="N98" s="7" t="s">
        <v>3535</v>
      </c>
      <c r="O98" s="13" t="s">
        <v>389</v>
      </c>
      <c r="P98" s="115" t="s">
        <v>408</v>
      </c>
      <c r="Q98" s="8" t="s">
        <v>491</v>
      </c>
      <c r="R98" s="2">
        <v>1</v>
      </c>
      <c r="S98" s="9">
        <v>1948.8</v>
      </c>
      <c r="T98" s="10">
        <f t="shared" si="14"/>
        <v>974.4</v>
      </c>
      <c r="U98" s="9">
        <v>50</v>
      </c>
      <c r="V98" s="10">
        <f t="shared" si="15"/>
        <v>924.4</v>
      </c>
      <c r="W98" s="4" t="s">
        <v>900</v>
      </c>
      <c r="X98" s="2"/>
      <c r="Y98" s="11">
        <v>1</v>
      </c>
      <c r="Z98" s="12">
        <f t="shared" si="16"/>
        <v>37</v>
      </c>
      <c r="AA98" s="4" t="s">
        <v>901</v>
      </c>
      <c r="AC98" s="176">
        <f t="shared" si="21"/>
        <v>4.5454545454545456E-2</v>
      </c>
    </row>
    <row r="99" spans="1:29" customFormat="1">
      <c r="A99" s="181"/>
      <c r="B99" s="183">
        <f t="shared" si="17"/>
        <v>3</v>
      </c>
      <c r="C99" s="107" t="str">
        <f t="shared" si="18"/>
        <v>ATP</v>
      </c>
      <c r="D99" s="188" t="s">
        <v>141</v>
      </c>
      <c r="E99" s="3">
        <v>43843</v>
      </c>
      <c r="F99" s="3">
        <v>43846</v>
      </c>
      <c r="G99" s="108">
        <f t="shared" si="19"/>
        <v>1</v>
      </c>
      <c r="H99" s="108" t="str">
        <f t="shared" si="20"/>
        <v>완료</v>
      </c>
      <c r="I99" s="112" t="s">
        <v>218</v>
      </c>
      <c r="J99" s="4" t="s">
        <v>24</v>
      </c>
      <c r="K99" s="5" t="s">
        <v>24</v>
      </c>
      <c r="L99" s="6" t="str">
        <f t="shared" si="13"/>
        <v>ATP</v>
      </c>
      <c r="M99" s="13" t="s">
        <v>256</v>
      </c>
      <c r="N99" s="7" t="s">
        <v>3535</v>
      </c>
      <c r="O99" s="13" t="s">
        <v>389</v>
      </c>
      <c r="P99" s="115" t="s">
        <v>408</v>
      </c>
      <c r="Q99" s="8" t="s">
        <v>435</v>
      </c>
      <c r="R99" s="2">
        <v>1</v>
      </c>
      <c r="S99" s="9">
        <v>1948.8</v>
      </c>
      <c r="T99" s="10">
        <f t="shared" si="14"/>
        <v>974.4</v>
      </c>
      <c r="U99" s="9">
        <v>50</v>
      </c>
      <c r="V99" s="10">
        <f t="shared" si="15"/>
        <v>924.4</v>
      </c>
      <c r="W99" s="4" t="s">
        <v>486</v>
      </c>
      <c r="X99" s="2"/>
      <c r="Y99" s="11">
        <v>1</v>
      </c>
      <c r="Z99" s="12">
        <f t="shared" si="16"/>
        <v>3</v>
      </c>
      <c r="AA99" s="4" t="s">
        <v>484</v>
      </c>
      <c r="AC99" s="176">
        <f t="shared" si="21"/>
        <v>4.5454545454545456E-2</v>
      </c>
    </row>
    <row r="100" spans="1:29" customFormat="1">
      <c r="A100" s="181"/>
      <c r="B100" s="183">
        <f t="shared" si="17"/>
        <v>3</v>
      </c>
      <c r="C100" s="107" t="str">
        <f t="shared" si="18"/>
        <v>ATP</v>
      </c>
      <c r="D100" s="188" t="s">
        <v>141</v>
      </c>
      <c r="E100" s="3">
        <v>43843</v>
      </c>
      <c r="F100" s="3">
        <v>43846</v>
      </c>
      <c r="G100" s="108">
        <f t="shared" si="19"/>
        <v>1</v>
      </c>
      <c r="H100" s="108" t="str">
        <f t="shared" si="20"/>
        <v>완료</v>
      </c>
      <c r="I100" s="112" t="s">
        <v>218</v>
      </c>
      <c r="J100" s="4" t="s">
        <v>24</v>
      </c>
      <c r="K100" s="5" t="s">
        <v>24</v>
      </c>
      <c r="L100" s="6" t="str">
        <f t="shared" si="13"/>
        <v>ATP</v>
      </c>
      <c r="M100" s="13" t="s">
        <v>256</v>
      </c>
      <c r="N100" s="7" t="s">
        <v>3535</v>
      </c>
      <c r="O100" s="13" t="s">
        <v>389</v>
      </c>
      <c r="P100" s="115" t="s">
        <v>408</v>
      </c>
      <c r="Q100" s="8" t="s">
        <v>436</v>
      </c>
      <c r="R100" s="2">
        <v>1</v>
      </c>
      <c r="S100" s="9">
        <v>1948.8</v>
      </c>
      <c r="T100" s="10">
        <f t="shared" si="14"/>
        <v>974.4</v>
      </c>
      <c r="U100" s="9">
        <v>50</v>
      </c>
      <c r="V100" s="10">
        <f t="shared" si="15"/>
        <v>924.4</v>
      </c>
      <c r="W100" s="4" t="s">
        <v>486</v>
      </c>
      <c r="X100" s="2"/>
      <c r="Y100" s="11">
        <v>3</v>
      </c>
      <c r="Z100" s="12">
        <f t="shared" si="16"/>
        <v>3</v>
      </c>
      <c r="AA100" s="4" t="s">
        <v>484</v>
      </c>
      <c r="AC100" s="176">
        <f t="shared" si="21"/>
        <v>4.5454545454545456E-2</v>
      </c>
    </row>
    <row r="101" spans="1:29" customFormat="1">
      <c r="A101" s="181"/>
      <c r="B101" s="183">
        <f t="shared" si="17"/>
        <v>7</v>
      </c>
      <c r="C101" s="107" t="str">
        <f t="shared" si="18"/>
        <v>ATP</v>
      </c>
      <c r="D101" s="188" t="s">
        <v>141</v>
      </c>
      <c r="E101" s="3">
        <v>43843</v>
      </c>
      <c r="F101" s="3">
        <v>43874</v>
      </c>
      <c r="G101" s="108">
        <f t="shared" si="19"/>
        <v>2</v>
      </c>
      <c r="H101" s="108" t="str">
        <f t="shared" si="20"/>
        <v>완료</v>
      </c>
      <c r="I101" s="112" t="s">
        <v>514</v>
      </c>
      <c r="J101" s="4" t="s">
        <v>24</v>
      </c>
      <c r="K101" s="5" t="s">
        <v>24</v>
      </c>
      <c r="L101" s="6" t="str">
        <f t="shared" si="13"/>
        <v>ATP</v>
      </c>
      <c r="M101" s="13" t="s">
        <v>403</v>
      </c>
      <c r="N101" s="7" t="s">
        <v>3536</v>
      </c>
      <c r="O101" s="13" t="s">
        <v>624</v>
      </c>
      <c r="P101" s="115" t="s">
        <v>630</v>
      </c>
      <c r="Q101" s="8" t="s">
        <v>627</v>
      </c>
      <c r="R101" s="2">
        <v>1</v>
      </c>
      <c r="S101" s="9">
        <v>1740</v>
      </c>
      <c r="T101" s="10">
        <f t="shared" si="14"/>
        <v>870</v>
      </c>
      <c r="U101" s="9">
        <v>300</v>
      </c>
      <c r="V101" s="10">
        <f t="shared" si="15"/>
        <v>570</v>
      </c>
      <c r="W101" s="4" t="s">
        <v>326</v>
      </c>
      <c r="X101" s="2" t="s">
        <v>29</v>
      </c>
      <c r="Y101" s="11">
        <v>1</v>
      </c>
      <c r="Z101" s="12">
        <f t="shared" si="16"/>
        <v>31</v>
      </c>
      <c r="AA101" s="4" t="s">
        <v>130</v>
      </c>
      <c r="AC101" s="176">
        <f t="shared" si="21"/>
        <v>0.27272727272727271</v>
      </c>
    </row>
    <row r="102" spans="1:29" customFormat="1">
      <c r="A102" s="181"/>
      <c r="B102" s="183">
        <f t="shared" si="17"/>
        <v>7</v>
      </c>
      <c r="C102" s="107" t="str">
        <f t="shared" si="18"/>
        <v>ATP</v>
      </c>
      <c r="D102" s="188" t="s">
        <v>141</v>
      </c>
      <c r="E102" s="3">
        <v>43843</v>
      </c>
      <c r="F102" s="3">
        <v>43874</v>
      </c>
      <c r="G102" s="108">
        <f t="shared" si="19"/>
        <v>2</v>
      </c>
      <c r="H102" s="108" t="str">
        <f t="shared" si="20"/>
        <v>완료</v>
      </c>
      <c r="I102" s="112" t="s">
        <v>514</v>
      </c>
      <c r="J102" s="4" t="s">
        <v>24</v>
      </c>
      <c r="K102" s="5" t="s">
        <v>24</v>
      </c>
      <c r="L102" s="6" t="str">
        <f t="shared" si="13"/>
        <v>ATP</v>
      </c>
      <c r="M102" s="13" t="s">
        <v>403</v>
      </c>
      <c r="N102" s="7" t="s">
        <v>3536</v>
      </c>
      <c r="O102" s="13" t="s">
        <v>390</v>
      </c>
      <c r="P102" s="115" t="s">
        <v>409</v>
      </c>
      <c r="Q102" s="8" t="s">
        <v>628</v>
      </c>
      <c r="R102" s="2">
        <v>1</v>
      </c>
      <c r="S102" s="9">
        <v>1740</v>
      </c>
      <c r="T102" s="10">
        <f t="shared" si="14"/>
        <v>870</v>
      </c>
      <c r="U102" s="9">
        <v>300</v>
      </c>
      <c r="V102" s="10">
        <f t="shared" si="15"/>
        <v>570</v>
      </c>
      <c r="W102" s="4" t="s">
        <v>326</v>
      </c>
      <c r="X102" s="2" t="s">
        <v>29</v>
      </c>
      <c r="Y102" s="11">
        <v>1</v>
      </c>
      <c r="Z102" s="12">
        <f t="shared" si="16"/>
        <v>31</v>
      </c>
      <c r="AA102" s="4" t="s">
        <v>130</v>
      </c>
      <c r="AC102" s="176">
        <f t="shared" si="21"/>
        <v>0.27272727272727271</v>
      </c>
    </row>
    <row r="103" spans="1:29" customFormat="1">
      <c r="A103" s="181"/>
      <c r="B103" s="183">
        <f t="shared" si="17"/>
        <v>7</v>
      </c>
      <c r="C103" s="107" t="str">
        <f t="shared" si="18"/>
        <v>ATP</v>
      </c>
      <c r="D103" s="188" t="s">
        <v>141</v>
      </c>
      <c r="E103" s="3">
        <v>43843</v>
      </c>
      <c r="F103" s="3">
        <v>43874</v>
      </c>
      <c r="G103" s="108">
        <f t="shared" si="19"/>
        <v>2</v>
      </c>
      <c r="H103" s="108" t="str">
        <f t="shared" si="20"/>
        <v>완료</v>
      </c>
      <c r="I103" s="112" t="s">
        <v>514</v>
      </c>
      <c r="J103" s="4" t="s">
        <v>24</v>
      </c>
      <c r="K103" s="5" t="s">
        <v>24</v>
      </c>
      <c r="L103" s="6" t="str">
        <f t="shared" si="13"/>
        <v>ATP</v>
      </c>
      <c r="M103" s="13" t="s">
        <v>401</v>
      </c>
      <c r="N103" s="7" t="s">
        <v>3537</v>
      </c>
      <c r="O103" s="13" t="s">
        <v>625</v>
      </c>
      <c r="P103" s="115" t="s">
        <v>631</v>
      </c>
      <c r="Q103" s="8" t="s">
        <v>629</v>
      </c>
      <c r="R103" s="2">
        <v>1</v>
      </c>
      <c r="S103" s="9">
        <v>2320</v>
      </c>
      <c r="T103" s="10">
        <f t="shared" si="14"/>
        <v>1160</v>
      </c>
      <c r="U103" s="9">
        <v>300</v>
      </c>
      <c r="V103" s="10">
        <f t="shared" si="15"/>
        <v>860</v>
      </c>
      <c r="W103" s="4" t="s">
        <v>326</v>
      </c>
      <c r="X103" s="2" t="s">
        <v>29</v>
      </c>
      <c r="Y103" s="11">
        <v>1</v>
      </c>
      <c r="Z103" s="12">
        <f t="shared" si="16"/>
        <v>31</v>
      </c>
      <c r="AA103" s="4" t="s">
        <v>130</v>
      </c>
      <c r="AC103" s="176">
        <f t="shared" si="21"/>
        <v>0.27272727272727271</v>
      </c>
    </row>
    <row r="104" spans="1:29" customFormat="1">
      <c r="A104" s="181"/>
      <c r="B104" s="183">
        <f t="shared" si="17"/>
        <v>7</v>
      </c>
      <c r="C104" s="107" t="str">
        <f t="shared" si="18"/>
        <v>ATP</v>
      </c>
      <c r="D104" s="188" t="s">
        <v>141</v>
      </c>
      <c r="E104" s="3">
        <v>43843</v>
      </c>
      <c r="F104" s="3">
        <v>43874</v>
      </c>
      <c r="G104" s="108">
        <f t="shared" si="19"/>
        <v>2</v>
      </c>
      <c r="H104" s="108" t="str">
        <f t="shared" si="20"/>
        <v>완료</v>
      </c>
      <c r="I104" s="112" t="s">
        <v>514</v>
      </c>
      <c r="J104" s="4" t="s">
        <v>24</v>
      </c>
      <c r="K104" s="5" t="s">
        <v>24</v>
      </c>
      <c r="L104" s="6" t="str">
        <f t="shared" si="13"/>
        <v>ATP</v>
      </c>
      <c r="M104" s="13" t="s">
        <v>256</v>
      </c>
      <c r="N104" s="7" t="s">
        <v>3538</v>
      </c>
      <c r="O104" s="13" t="s">
        <v>626</v>
      </c>
      <c r="P104" s="115" t="s">
        <v>632</v>
      </c>
      <c r="Q104" s="8" t="s">
        <v>623</v>
      </c>
      <c r="R104" s="2">
        <v>1</v>
      </c>
      <c r="S104" s="9">
        <v>2320</v>
      </c>
      <c r="T104" s="10">
        <f t="shared" si="14"/>
        <v>1160</v>
      </c>
      <c r="U104" s="9">
        <v>300</v>
      </c>
      <c r="V104" s="10">
        <f t="shared" si="15"/>
        <v>860</v>
      </c>
      <c r="W104" s="4" t="s">
        <v>326</v>
      </c>
      <c r="X104" s="2" t="s">
        <v>29</v>
      </c>
      <c r="Y104" s="11">
        <v>1</v>
      </c>
      <c r="Z104" s="12">
        <f t="shared" si="16"/>
        <v>31</v>
      </c>
      <c r="AA104" s="4" t="s">
        <v>130</v>
      </c>
      <c r="AC104" s="176">
        <f t="shared" si="21"/>
        <v>0.27272727272727271</v>
      </c>
    </row>
    <row r="105" spans="1:29" customFormat="1">
      <c r="A105" s="181"/>
      <c r="B105" s="183">
        <f t="shared" si="17"/>
        <v>7</v>
      </c>
      <c r="C105" s="107" t="str">
        <f t="shared" si="18"/>
        <v>ATP</v>
      </c>
      <c r="D105" s="188" t="s">
        <v>141</v>
      </c>
      <c r="E105" s="3">
        <v>43843</v>
      </c>
      <c r="F105" s="3">
        <v>43873</v>
      </c>
      <c r="G105" s="108">
        <f t="shared" si="19"/>
        <v>2</v>
      </c>
      <c r="H105" s="108" t="str">
        <f t="shared" si="20"/>
        <v>완료</v>
      </c>
      <c r="I105" s="112" t="s">
        <v>218</v>
      </c>
      <c r="J105" s="4" t="s">
        <v>24</v>
      </c>
      <c r="K105" s="5" t="s">
        <v>24</v>
      </c>
      <c r="L105" s="6" t="str">
        <f t="shared" si="13"/>
        <v>ATP</v>
      </c>
      <c r="M105" s="13" t="s">
        <v>403</v>
      </c>
      <c r="N105" s="7" t="s">
        <v>3539</v>
      </c>
      <c r="O105" s="13" t="s">
        <v>391</v>
      </c>
      <c r="P105" s="115" t="s">
        <v>411</v>
      </c>
      <c r="Q105" s="8" t="s">
        <v>437</v>
      </c>
      <c r="R105" s="2">
        <v>1</v>
      </c>
      <c r="S105" s="9">
        <v>4640</v>
      </c>
      <c r="T105" s="10">
        <f t="shared" si="14"/>
        <v>2320</v>
      </c>
      <c r="U105" s="9">
        <v>100</v>
      </c>
      <c r="V105" s="10">
        <f t="shared" si="15"/>
        <v>2220</v>
      </c>
      <c r="W105" s="4" t="s">
        <v>122</v>
      </c>
      <c r="X105" s="2"/>
      <c r="Y105" s="11">
        <v>6</v>
      </c>
      <c r="Z105" s="12">
        <f t="shared" si="16"/>
        <v>30</v>
      </c>
      <c r="AA105" s="4" t="s">
        <v>27</v>
      </c>
      <c r="AC105" s="176">
        <f t="shared" si="21"/>
        <v>9.0909090909090912E-2</v>
      </c>
    </row>
    <row r="106" spans="1:29" customFormat="1">
      <c r="A106" s="181"/>
      <c r="B106" s="183">
        <f t="shared" si="17"/>
        <v>8</v>
      </c>
      <c r="C106" s="107" t="str">
        <f t="shared" si="18"/>
        <v>ATP</v>
      </c>
      <c r="D106" s="188" t="s">
        <v>141</v>
      </c>
      <c r="E106" s="3">
        <v>43843</v>
      </c>
      <c r="F106" s="3">
        <v>43879</v>
      </c>
      <c r="G106" s="108">
        <f t="shared" si="19"/>
        <v>2</v>
      </c>
      <c r="H106" s="108" t="str">
        <f t="shared" si="20"/>
        <v>수리불가</v>
      </c>
      <c r="I106" s="112" t="s">
        <v>601</v>
      </c>
      <c r="J106" s="4" t="s">
        <v>24</v>
      </c>
      <c r="K106" s="5" t="s">
        <v>24</v>
      </c>
      <c r="L106" s="6" t="str">
        <f t="shared" si="13"/>
        <v>ATP</v>
      </c>
      <c r="M106" s="13" t="s">
        <v>403</v>
      </c>
      <c r="N106" s="7" t="s">
        <v>3539</v>
      </c>
      <c r="O106" s="13" t="s">
        <v>391</v>
      </c>
      <c r="P106" s="115" t="s">
        <v>412</v>
      </c>
      <c r="Q106" s="8" t="s">
        <v>438</v>
      </c>
      <c r="R106" s="2">
        <v>1</v>
      </c>
      <c r="S106" s="9">
        <v>4640</v>
      </c>
      <c r="T106" s="10">
        <f t="shared" si="14"/>
        <v>2320</v>
      </c>
      <c r="U106" s="9">
        <v>0</v>
      </c>
      <c r="V106" s="10">
        <f t="shared" si="15"/>
        <v>2320</v>
      </c>
      <c r="W106" s="4" t="s">
        <v>122</v>
      </c>
      <c r="X106" s="2"/>
      <c r="Y106" s="11">
        <v>1</v>
      </c>
      <c r="Z106" s="12">
        <f t="shared" si="16"/>
        <v>36</v>
      </c>
      <c r="AA106" s="4" t="s">
        <v>27</v>
      </c>
      <c r="AC106" s="176">
        <f t="shared" si="21"/>
        <v>0</v>
      </c>
    </row>
    <row r="107" spans="1:29" customFormat="1">
      <c r="A107" s="181"/>
      <c r="B107" s="183">
        <f t="shared" si="17"/>
        <v>5</v>
      </c>
      <c r="C107" s="107" t="str">
        <f t="shared" si="18"/>
        <v>ATP</v>
      </c>
      <c r="D107" s="188" t="s">
        <v>141</v>
      </c>
      <c r="E107" s="3">
        <v>43843</v>
      </c>
      <c r="F107" s="3">
        <v>43860</v>
      </c>
      <c r="G107" s="108">
        <f t="shared" si="19"/>
        <v>1</v>
      </c>
      <c r="H107" s="108" t="str">
        <f t="shared" si="20"/>
        <v>수리불가</v>
      </c>
      <c r="I107" s="112" t="s">
        <v>601</v>
      </c>
      <c r="J107" s="4" t="s">
        <v>24</v>
      </c>
      <c r="K107" s="5" t="s">
        <v>24</v>
      </c>
      <c r="L107" s="6" t="str">
        <f t="shared" si="13"/>
        <v>ATP</v>
      </c>
      <c r="M107" s="13" t="s">
        <v>256</v>
      </c>
      <c r="N107" s="7" t="s">
        <v>3535</v>
      </c>
      <c r="O107" s="13" t="s">
        <v>392</v>
      </c>
      <c r="P107" s="115" t="s">
        <v>423</v>
      </c>
      <c r="Q107" s="8" t="s">
        <v>439</v>
      </c>
      <c r="R107" s="2">
        <v>1</v>
      </c>
      <c r="S107" s="9">
        <v>1856</v>
      </c>
      <c r="T107" s="10">
        <f t="shared" si="14"/>
        <v>928</v>
      </c>
      <c r="U107" s="9">
        <v>0</v>
      </c>
      <c r="V107" s="10">
        <f t="shared" si="15"/>
        <v>928</v>
      </c>
      <c r="W107" s="4" t="s">
        <v>122</v>
      </c>
      <c r="X107" s="2"/>
      <c r="Y107" s="11">
        <v>8</v>
      </c>
      <c r="Z107" s="12">
        <f t="shared" si="16"/>
        <v>17</v>
      </c>
      <c r="AA107" s="4" t="s">
        <v>27</v>
      </c>
      <c r="AC107" s="176">
        <f t="shared" si="21"/>
        <v>0</v>
      </c>
    </row>
    <row r="108" spans="1:29" customFormat="1">
      <c r="A108" s="181"/>
      <c r="B108" s="183">
        <f t="shared" si="17"/>
        <v>4</v>
      </c>
      <c r="C108" s="107" t="str">
        <f t="shared" si="18"/>
        <v>ATP</v>
      </c>
      <c r="D108" s="188" t="s">
        <v>141</v>
      </c>
      <c r="E108" s="3">
        <v>43843</v>
      </c>
      <c r="F108" s="3">
        <v>43853</v>
      </c>
      <c r="G108" s="108">
        <f t="shared" si="19"/>
        <v>1</v>
      </c>
      <c r="H108" s="108" t="str">
        <f t="shared" si="20"/>
        <v>완료</v>
      </c>
      <c r="I108" s="112" t="s">
        <v>609</v>
      </c>
      <c r="J108" s="4" t="s">
        <v>24</v>
      </c>
      <c r="K108" s="5" t="s">
        <v>24</v>
      </c>
      <c r="L108" s="6" t="str">
        <f t="shared" si="13"/>
        <v>ATP</v>
      </c>
      <c r="M108" s="13" t="s">
        <v>256</v>
      </c>
      <c r="N108" s="7" t="s">
        <v>3535</v>
      </c>
      <c r="O108" s="13" t="s">
        <v>393</v>
      </c>
      <c r="P108" s="115" t="s">
        <v>452</v>
      </c>
      <c r="Q108" s="8" t="s">
        <v>440</v>
      </c>
      <c r="R108" s="2">
        <v>1</v>
      </c>
      <c r="S108" s="9">
        <v>1016.16</v>
      </c>
      <c r="T108" s="10">
        <f t="shared" si="14"/>
        <v>508.08</v>
      </c>
      <c r="U108" s="9">
        <v>25</v>
      </c>
      <c r="V108" s="10">
        <f t="shared" si="15"/>
        <v>483.08</v>
      </c>
      <c r="W108" s="4" t="s">
        <v>607</v>
      </c>
      <c r="X108" s="2"/>
      <c r="Y108" s="11">
        <v>8</v>
      </c>
      <c r="Z108" s="12">
        <f t="shared" si="16"/>
        <v>10</v>
      </c>
      <c r="AA108" s="4" t="s">
        <v>608</v>
      </c>
      <c r="AC108" s="176">
        <f t="shared" si="21"/>
        <v>2.2727272727272728E-2</v>
      </c>
    </row>
    <row r="109" spans="1:29" customFormat="1">
      <c r="A109" s="181"/>
      <c r="B109" s="183">
        <f t="shared" si="17"/>
        <v>4</v>
      </c>
      <c r="C109" s="107" t="str">
        <f t="shared" si="18"/>
        <v>ATP</v>
      </c>
      <c r="D109" s="188" t="s">
        <v>141</v>
      </c>
      <c r="E109" s="3">
        <v>43843</v>
      </c>
      <c r="F109" s="3">
        <v>43851</v>
      </c>
      <c r="G109" s="108">
        <f t="shared" si="19"/>
        <v>1</v>
      </c>
      <c r="H109" s="108" t="str">
        <f t="shared" si="20"/>
        <v>완료</v>
      </c>
      <c r="I109" s="112" t="s">
        <v>264</v>
      </c>
      <c r="J109" s="4" t="s">
        <v>24</v>
      </c>
      <c r="K109" s="5" t="s">
        <v>24</v>
      </c>
      <c r="L109" s="6" t="str">
        <f t="shared" si="13"/>
        <v>ATP</v>
      </c>
      <c r="M109" s="13" t="s">
        <v>256</v>
      </c>
      <c r="N109" s="7" t="s">
        <v>3535</v>
      </c>
      <c r="O109" s="13" t="s">
        <v>394</v>
      </c>
      <c r="P109" s="115" t="s">
        <v>413</v>
      </c>
      <c r="Q109" s="8" t="s">
        <v>441</v>
      </c>
      <c r="R109" s="2">
        <v>1</v>
      </c>
      <c r="S109" s="9">
        <v>1160</v>
      </c>
      <c r="T109" s="10">
        <f t="shared" si="14"/>
        <v>580</v>
      </c>
      <c r="U109" s="9">
        <v>10</v>
      </c>
      <c r="V109" s="10">
        <f t="shared" si="15"/>
        <v>570</v>
      </c>
      <c r="W109" s="4" t="s">
        <v>249</v>
      </c>
      <c r="X109" s="2"/>
      <c r="Y109" s="11">
        <v>4</v>
      </c>
      <c r="Z109" s="12">
        <f t="shared" si="16"/>
        <v>8</v>
      </c>
      <c r="AA109" s="4" t="s">
        <v>27</v>
      </c>
      <c r="AC109" s="176">
        <f t="shared" si="21"/>
        <v>9.0909090909090905E-3</v>
      </c>
    </row>
    <row r="110" spans="1:29" customFormat="1">
      <c r="A110" s="181"/>
      <c r="B110" s="183">
        <f t="shared" si="17"/>
        <v>4</v>
      </c>
      <c r="C110" s="107" t="str">
        <f t="shared" si="18"/>
        <v>ATP</v>
      </c>
      <c r="D110" s="188" t="s">
        <v>141</v>
      </c>
      <c r="E110" s="3">
        <v>43843</v>
      </c>
      <c r="F110" s="3">
        <v>43851</v>
      </c>
      <c r="G110" s="108">
        <f t="shared" si="19"/>
        <v>1</v>
      </c>
      <c r="H110" s="108" t="str">
        <f t="shared" si="20"/>
        <v>완료</v>
      </c>
      <c r="I110" s="112" t="s">
        <v>264</v>
      </c>
      <c r="J110" s="4" t="s">
        <v>24</v>
      </c>
      <c r="K110" s="5" t="s">
        <v>24</v>
      </c>
      <c r="L110" s="6" t="str">
        <f t="shared" si="13"/>
        <v>ATP</v>
      </c>
      <c r="M110" s="13" t="s">
        <v>256</v>
      </c>
      <c r="N110" s="7" t="s">
        <v>3535</v>
      </c>
      <c r="O110" s="13" t="s">
        <v>394</v>
      </c>
      <c r="P110" s="115" t="s">
        <v>414</v>
      </c>
      <c r="Q110" s="8" t="s">
        <v>442</v>
      </c>
      <c r="R110" s="2">
        <v>1</v>
      </c>
      <c r="S110" s="9">
        <v>1160</v>
      </c>
      <c r="T110" s="10">
        <f t="shared" si="14"/>
        <v>580</v>
      </c>
      <c r="U110" s="9">
        <v>10</v>
      </c>
      <c r="V110" s="10">
        <f t="shared" si="15"/>
        <v>570</v>
      </c>
      <c r="W110" s="4" t="s">
        <v>249</v>
      </c>
      <c r="X110" s="2"/>
      <c r="Y110" s="11">
        <v>4</v>
      </c>
      <c r="Z110" s="12">
        <f t="shared" si="16"/>
        <v>8</v>
      </c>
      <c r="AA110" s="4" t="s">
        <v>27</v>
      </c>
      <c r="AC110" s="176">
        <f t="shared" si="21"/>
        <v>9.0909090909090905E-3</v>
      </c>
    </row>
    <row r="111" spans="1:29" customFormat="1">
      <c r="A111" s="181"/>
      <c r="B111" s="183">
        <f t="shared" si="17"/>
        <v>3</v>
      </c>
      <c r="C111" s="107" t="str">
        <f t="shared" si="18"/>
        <v>ATP</v>
      </c>
      <c r="D111" s="188" t="s">
        <v>141</v>
      </c>
      <c r="E111" s="3">
        <v>43843</v>
      </c>
      <c r="F111" s="3">
        <v>43847</v>
      </c>
      <c r="G111" s="108">
        <f t="shared" si="19"/>
        <v>1</v>
      </c>
      <c r="H111" s="108" t="str">
        <f t="shared" si="20"/>
        <v>완료</v>
      </c>
      <c r="I111" s="112" t="s">
        <v>519</v>
      </c>
      <c r="J111" s="4" t="s">
        <v>24</v>
      </c>
      <c r="K111" s="5" t="s">
        <v>24</v>
      </c>
      <c r="L111" s="6" t="str">
        <f t="shared" si="13"/>
        <v>ATP</v>
      </c>
      <c r="M111" s="13" t="s">
        <v>256</v>
      </c>
      <c r="N111" s="7" t="s">
        <v>3535</v>
      </c>
      <c r="O111" s="13" t="s">
        <v>395</v>
      </c>
      <c r="P111" s="115" t="s">
        <v>415</v>
      </c>
      <c r="Q111" s="8" t="s">
        <v>443</v>
      </c>
      <c r="R111" s="2">
        <v>1</v>
      </c>
      <c r="S111" s="9">
        <v>1102</v>
      </c>
      <c r="T111" s="10">
        <f t="shared" si="14"/>
        <v>551</v>
      </c>
      <c r="U111" s="9">
        <v>10</v>
      </c>
      <c r="V111" s="10">
        <f t="shared" si="15"/>
        <v>541</v>
      </c>
      <c r="W111" s="4" t="s">
        <v>515</v>
      </c>
      <c r="X111" s="2"/>
      <c r="Y111" s="11">
        <v>3</v>
      </c>
      <c r="Z111" s="12">
        <f t="shared" si="16"/>
        <v>4</v>
      </c>
      <c r="AA111" s="4" t="s">
        <v>516</v>
      </c>
      <c r="AC111" s="176">
        <f t="shared" si="21"/>
        <v>9.0909090909090905E-3</v>
      </c>
    </row>
    <row r="112" spans="1:29" customFormat="1">
      <c r="A112" s="181"/>
      <c r="B112" s="183">
        <f t="shared" si="17"/>
        <v>4</v>
      </c>
      <c r="C112" s="107" t="str">
        <f t="shared" si="18"/>
        <v>ATP</v>
      </c>
      <c r="D112" s="188" t="s">
        <v>141</v>
      </c>
      <c r="E112" s="3">
        <v>43843</v>
      </c>
      <c r="F112" s="3">
        <v>43851</v>
      </c>
      <c r="G112" s="108">
        <f t="shared" si="19"/>
        <v>1</v>
      </c>
      <c r="H112" s="108" t="str">
        <f t="shared" si="20"/>
        <v>완료</v>
      </c>
      <c r="I112" s="112" t="s">
        <v>554</v>
      </c>
      <c r="J112" s="4" t="s">
        <v>24</v>
      </c>
      <c r="K112" s="5" t="s">
        <v>24</v>
      </c>
      <c r="L112" s="6" t="str">
        <f t="shared" si="13"/>
        <v>ATP</v>
      </c>
      <c r="M112" s="13" t="s">
        <v>404</v>
      </c>
      <c r="N112" s="7" t="s">
        <v>3535</v>
      </c>
      <c r="O112" s="13" t="s">
        <v>393</v>
      </c>
      <c r="P112" s="115" t="s">
        <v>410</v>
      </c>
      <c r="Q112" s="8" t="s">
        <v>444</v>
      </c>
      <c r="R112" s="2">
        <v>1</v>
      </c>
      <c r="S112" s="9">
        <v>1856</v>
      </c>
      <c r="T112" s="10">
        <f t="shared" si="14"/>
        <v>928</v>
      </c>
      <c r="U112" s="9">
        <v>0</v>
      </c>
      <c r="V112" s="10">
        <f t="shared" si="15"/>
        <v>928</v>
      </c>
      <c r="W112" s="4" t="s">
        <v>555</v>
      </c>
      <c r="X112" s="2"/>
      <c r="Y112" s="11">
        <v>4</v>
      </c>
      <c r="Z112" s="12">
        <f t="shared" si="16"/>
        <v>8</v>
      </c>
      <c r="AA112" s="4" t="s">
        <v>556</v>
      </c>
      <c r="AC112" s="176">
        <f t="shared" si="21"/>
        <v>0</v>
      </c>
    </row>
    <row r="113" spans="1:29" customFormat="1">
      <c r="A113" s="181"/>
      <c r="B113" s="183">
        <f t="shared" si="17"/>
        <v>4</v>
      </c>
      <c r="C113" s="107" t="str">
        <f t="shared" si="18"/>
        <v>ATP</v>
      </c>
      <c r="D113" s="188" t="s">
        <v>141</v>
      </c>
      <c r="E113" s="3">
        <v>43843</v>
      </c>
      <c r="F113" s="3">
        <v>43852</v>
      </c>
      <c r="G113" s="108">
        <f t="shared" si="19"/>
        <v>1</v>
      </c>
      <c r="H113" s="108" t="str">
        <f t="shared" si="20"/>
        <v>완료</v>
      </c>
      <c r="I113" s="112" t="s">
        <v>218</v>
      </c>
      <c r="J113" s="4" t="s">
        <v>24</v>
      </c>
      <c r="K113" s="5" t="s">
        <v>24</v>
      </c>
      <c r="L113" s="6" t="str">
        <f t="shared" si="13"/>
        <v>ATP</v>
      </c>
      <c r="M113" s="13" t="s">
        <v>403</v>
      </c>
      <c r="N113" s="7" t="s">
        <v>3539</v>
      </c>
      <c r="O113" s="13" t="s">
        <v>396</v>
      </c>
      <c r="P113" s="115" t="s">
        <v>424</v>
      </c>
      <c r="Q113" s="8" t="s">
        <v>445</v>
      </c>
      <c r="R113" s="2">
        <v>1</v>
      </c>
      <c r="S113" s="9">
        <v>580</v>
      </c>
      <c r="T113" s="10">
        <f t="shared" si="14"/>
        <v>290</v>
      </c>
      <c r="U113" s="9">
        <v>1</v>
      </c>
      <c r="V113" s="10">
        <f t="shared" si="15"/>
        <v>289</v>
      </c>
      <c r="W113" s="4" t="s">
        <v>122</v>
      </c>
      <c r="X113" s="2"/>
      <c r="Y113" s="11">
        <v>4</v>
      </c>
      <c r="Z113" s="12">
        <f t="shared" si="16"/>
        <v>9</v>
      </c>
      <c r="AA113" s="4" t="s">
        <v>117</v>
      </c>
      <c r="AC113" s="176">
        <f t="shared" si="21"/>
        <v>9.0909090909090909E-4</v>
      </c>
    </row>
    <row r="114" spans="1:29" customFormat="1">
      <c r="A114" s="181"/>
      <c r="B114" s="183">
        <f t="shared" si="17"/>
        <v>4</v>
      </c>
      <c r="C114" s="107" t="str">
        <f t="shared" si="18"/>
        <v>ATP</v>
      </c>
      <c r="D114" s="188" t="s">
        <v>141</v>
      </c>
      <c r="E114" s="3">
        <v>43843</v>
      </c>
      <c r="F114" s="3">
        <v>43852</v>
      </c>
      <c r="G114" s="108">
        <f t="shared" si="19"/>
        <v>1</v>
      </c>
      <c r="H114" s="108" t="str">
        <f t="shared" si="20"/>
        <v>완료</v>
      </c>
      <c r="I114" s="112" t="s">
        <v>218</v>
      </c>
      <c r="J114" s="4" t="s">
        <v>24</v>
      </c>
      <c r="K114" s="5" t="s">
        <v>24</v>
      </c>
      <c r="L114" s="6" t="str">
        <f t="shared" si="13"/>
        <v>ATP</v>
      </c>
      <c r="M114" s="13" t="s">
        <v>403</v>
      </c>
      <c r="N114" s="7" t="s">
        <v>3539</v>
      </c>
      <c r="O114" s="13" t="s">
        <v>396</v>
      </c>
      <c r="P114" s="115" t="s">
        <v>424</v>
      </c>
      <c r="Q114" s="8" t="s">
        <v>446</v>
      </c>
      <c r="R114" s="2">
        <v>1</v>
      </c>
      <c r="S114" s="9">
        <v>580</v>
      </c>
      <c r="T114" s="10">
        <f t="shared" si="14"/>
        <v>290</v>
      </c>
      <c r="U114" s="9">
        <v>1</v>
      </c>
      <c r="V114" s="10">
        <f t="shared" si="15"/>
        <v>289</v>
      </c>
      <c r="W114" s="4" t="s">
        <v>122</v>
      </c>
      <c r="X114" s="2"/>
      <c r="Y114" s="11">
        <v>1</v>
      </c>
      <c r="Z114" s="12">
        <f t="shared" si="16"/>
        <v>9</v>
      </c>
      <c r="AA114" s="4" t="s">
        <v>117</v>
      </c>
      <c r="AC114" s="176">
        <f t="shared" si="21"/>
        <v>9.0909090909090909E-4</v>
      </c>
    </row>
    <row r="115" spans="1:29" customFormat="1">
      <c r="A115" s="181"/>
      <c r="B115" s="183">
        <f t="shared" si="17"/>
        <v>4</v>
      </c>
      <c r="C115" s="107" t="str">
        <f t="shared" si="18"/>
        <v>ATP</v>
      </c>
      <c r="D115" s="188" t="s">
        <v>141</v>
      </c>
      <c r="E115" s="3">
        <v>43843</v>
      </c>
      <c r="F115" s="3">
        <v>43852</v>
      </c>
      <c r="G115" s="108">
        <f t="shared" si="19"/>
        <v>1</v>
      </c>
      <c r="H115" s="108" t="str">
        <f t="shared" si="20"/>
        <v>완료</v>
      </c>
      <c r="I115" s="112" t="s">
        <v>218</v>
      </c>
      <c r="J115" s="4" t="s">
        <v>24</v>
      </c>
      <c r="K115" s="5" t="s">
        <v>24</v>
      </c>
      <c r="L115" s="6" t="str">
        <f t="shared" si="13"/>
        <v>ATP</v>
      </c>
      <c r="M115" s="13" t="s">
        <v>403</v>
      </c>
      <c r="N115" s="7" t="s">
        <v>3539</v>
      </c>
      <c r="O115" s="13" t="s">
        <v>396</v>
      </c>
      <c r="P115" s="115" t="s">
        <v>416</v>
      </c>
      <c r="Q115" s="8" t="s">
        <v>447</v>
      </c>
      <c r="R115" s="2">
        <v>1</v>
      </c>
      <c r="S115" s="9">
        <v>580</v>
      </c>
      <c r="T115" s="10">
        <f t="shared" si="14"/>
        <v>290</v>
      </c>
      <c r="U115" s="9">
        <v>1</v>
      </c>
      <c r="V115" s="10">
        <f t="shared" si="15"/>
        <v>289</v>
      </c>
      <c r="W115" s="4" t="s">
        <v>122</v>
      </c>
      <c r="X115" s="2"/>
      <c r="Y115" s="11">
        <v>1</v>
      </c>
      <c r="Z115" s="12">
        <f t="shared" si="16"/>
        <v>9</v>
      </c>
      <c r="AA115" s="4" t="s">
        <v>117</v>
      </c>
      <c r="AC115" s="176">
        <f t="shared" si="21"/>
        <v>9.0909090909090909E-4</v>
      </c>
    </row>
    <row r="116" spans="1:29" customFormat="1">
      <c r="A116" s="181"/>
      <c r="B116" s="183">
        <f t="shared" si="17"/>
        <v>4</v>
      </c>
      <c r="C116" s="107" t="str">
        <f t="shared" si="18"/>
        <v>ATP</v>
      </c>
      <c r="D116" s="188" t="s">
        <v>141</v>
      </c>
      <c r="E116" s="3">
        <v>43843</v>
      </c>
      <c r="F116" s="3">
        <v>43852</v>
      </c>
      <c r="G116" s="108">
        <f t="shared" si="19"/>
        <v>1</v>
      </c>
      <c r="H116" s="108" t="str">
        <f t="shared" si="20"/>
        <v>완료</v>
      </c>
      <c r="I116" s="112" t="s">
        <v>218</v>
      </c>
      <c r="J116" s="4" t="s">
        <v>24</v>
      </c>
      <c r="K116" s="5" t="s">
        <v>24</v>
      </c>
      <c r="L116" s="6" t="str">
        <f t="shared" si="13"/>
        <v>ATP</v>
      </c>
      <c r="M116" s="13" t="s">
        <v>403</v>
      </c>
      <c r="N116" s="7" t="s">
        <v>3539</v>
      </c>
      <c r="O116" s="13" t="s">
        <v>396</v>
      </c>
      <c r="P116" s="115" t="s">
        <v>424</v>
      </c>
      <c r="Q116" s="8" t="s">
        <v>448</v>
      </c>
      <c r="R116" s="2">
        <v>1</v>
      </c>
      <c r="S116" s="9">
        <v>580</v>
      </c>
      <c r="T116" s="10">
        <f t="shared" si="14"/>
        <v>290</v>
      </c>
      <c r="U116" s="9">
        <v>1</v>
      </c>
      <c r="V116" s="10">
        <f t="shared" si="15"/>
        <v>289</v>
      </c>
      <c r="W116" s="4" t="s">
        <v>122</v>
      </c>
      <c r="X116" s="2"/>
      <c r="Y116" s="11">
        <v>1</v>
      </c>
      <c r="Z116" s="12">
        <f t="shared" si="16"/>
        <v>9</v>
      </c>
      <c r="AA116" s="4" t="s">
        <v>117</v>
      </c>
      <c r="AC116" s="176">
        <f t="shared" si="21"/>
        <v>9.0909090909090909E-4</v>
      </c>
    </row>
    <row r="117" spans="1:29" customFormat="1">
      <c r="A117" s="181"/>
      <c r="B117" s="183">
        <f t="shared" si="17"/>
        <v>4</v>
      </c>
      <c r="C117" s="107" t="str">
        <f t="shared" si="18"/>
        <v>ATP</v>
      </c>
      <c r="D117" s="188" t="s">
        <v>141</v>
      </c>
      <c r="E117" s="3">
        <v>43843</v>
      </c>
      <c r="F117" s="3">
        <v>43852</v>
      </c>
      <c r="G117" s="108">
        <f t="shared" si="19"/>
        <v>1</v>
      </c>
      <c r="H117" s="108" t="str">
        <f t="shared" si="20"/>
        <v>완료</v>
      </c>
      <c r="I117" s="112" t="s">
        <v>218</v>
      </c>
      <c r="J117" s="4" t="s">
        <v>24</v>
      </c>
      <c r="K117" s="5" t="s">
        <v>24</v>
      </c>
      <c r="L117" s="6" t="str">
        <f t="shared" si="13"/>
        <v>ATP</v>
      </c>
      <c r="M117" s="13" t="s">
        <v>403</v>
      </c>
      <c r="N117" s="7" t="s">
        <v>3539</v>
      </c>
      <c r="O117" s="13" t="s">
        <v>396</v>
      </c>
      <c r="P117" s="115" t="s">
        <v>417</v>
      </c>
      <c r="Q117" s="8" t="s">
        <v>449</v>
      </c>
      <c r="R117" s="2">
        <v>1</v>
      </c>
      <c r="S117" s="9">
        <v>580</v>
      </c>
      <c r="T117" s="10">
        <f t="shared" si="14"/>
        <v>290</v>
      </c>
      <c r="U117" s="9">
        <v>1</v>
      </c>
      <c r="V117" s="10">
        <f t="shared" si="15"/>
        <v>289</v>
      </c>
      <c r="W117" s="4" t="s">
        <v>122</v>
      </c>
      <c r="X117" s="2"/>
      <c r="Y117" s="11">
        <v>1</v>
      </c>
      <c r="Z117" s="12">
        <f t="shared" si="16"/>
        <v>9</v>
      </c>
      <c r="AA117" s="4" t="s">
        <v>117</v>
      </c>
      <c r="AC117" s="176">
        <f t="shared" si="21"/>
        <v>9.0909090909090909E-4</v>
      </c>
    </row>
    <row r="118" spans="1:29" customFormat="1">
      <c r="A118" s="181"/>
      <c r="B118" s="183">
        <f t="shared" si="17"/>
        <v>4</v>
      </c>
      <c r="C118" s="107" t="str">
        <f t="shared" si="18"/>
        <v>ATP</v>
      </c>
      <c r="D118" s="188" t="s">
        <v>141</v>
      </c>
      <c r="E118" s="3">
        <v>43843</v>
      </c>
      <c r="F118" s="3">
        <v>43851</v>
      </c>
      <c r="G118" s="108">
        <f t="shared" si="19"/>
        <v>1</v>
      </c>
      <c r="H118" s="108" t="str">
        <f t="shared" si="20"/>
        <v>완료</v>
      </c>
      <c r="I118" s="112" t="s">
        <v>218</v>
      </c>
      <c r="J118" s="4" t="s">
        <v>24</v>
      </c>
      <c r="K118" s="5" t="s">
        <v>24</v>
      </c>
      <c r="L118" s="6" t="str">
        <f t="shared" si="13"/>
        <v>ATP</v>
      </c>
      <c r="M118" s="13" t="s">
        <v>401</v>
      </c>
      <c r="N118" s="7" t="s">
        <v>3540</v>
      </c>
      <c r="O118" s="13" t="s">
        <v>397</v>
      </c>
      <c r="P118" s="115" t="s">
        <v>418</v>
      </c>
      <c r="Q118" s="8" t="s">
        <v>450</v>
      </c>
      <c r="R118" s="2">
        <v>1</v>
      </c>
      <c r="S118" s="9">
        <v>1044</v>
      </c>
      <c r="T118" s="10">
        <f t="shared" si="14"/>
        <v>522</v>
      </c>
      <c r="U118" s="9">
        <v>15</v>
      </c>
      <c r="V118" s="10">
        <f t="shared" si="15"/>
        <v>507</v>
      </c>
      <c r="W118" s="4" t="s">
        <v>122</v>
      </c>
      <c r="X118" s="2"/>
      <c r="Y118" s="11">
        <v>3</v>
      </c>
      <c r="Z118" s="12">
        <f t="shared" si="16"/>
        <v>8</v>
      </c>
      <c r="AA118" s="4" t="s">
        <v>117</v>
      </c>
      <c r="AC118" s="176">
        <f t="shared" si="21"/>
        <v>1.3636363636363636E-2</v>
      </c>
    </row>
    <row r="119" spans="1:29" customFormat="1">
      <c r="A119" s="181"/>
      <c r="B119" s="183">
        <f t="shared" si="17"/>
        <v>4</v>
      </c>
      <c r="C119" s="107" t="str">
        <f t="shared" si="18"/>
        <v>ATP</v>
      </c>
      <c r="D119" s="188" t="s">
        <v>141</v>
      </c>
      <c r="E119" s="3">
        <v>43843</v>
      </c>
      <c r="F119" s="3">
        <v>43851</v>
      </c>
      <c r="G119" s="108">
        <f t="shared" si="19"/>
        <v>1</v>
      </c>
      <c r="H119" s="108" t="str">
        <f t="shared" si="20"/>
        <v>완료</v>
      </c>
      <c r="I119" s="112" t="s">
        <v>218</v>
      </c>
      <c r="J119" s="4" t="s">
        <v>24</v>
      </c>
      <c r="K119" s="5" t="s">
        <v>24</v>
      </c>
      <c r="L119" s="6" t="str">
        <f t="shared" si="13"/>
        <v>ATP</v>
      </c>
      <c r="M119" s="13" t="s">
        <v>401</v>
      </c>
      <c r="N119" s="7" t="s">
        <v>3540</v>
      </c>
      <c r="O119" s="13" t="s">
        <v>397</v>
      </c>
      <c r="P119" s="115" t="s">
        <v>418</v>
      </c>
      <c r="Q119" s="8" t="s">
        <v>451</v>
      </c>
      <c r="R119" s="2">
        <v>1</v>
      </c>
      <c r="S119" s="9">
        <v>1044</v>
      </c>
      <c r="T119" s="10">
        <f t="shared" si="14"/>
        <v>522</v>
      </c>
      <c r="U119" s="9">
        <v>15</v>
      </c>
      <c r="V119" s="10">
        <f t="shared" si="15"/>
        <v>507</v>
      </c>
      <c r="W119" s="4" t="s">
        <v>122</v>
      </c>
      <c r="X119" s="2"/>
      <c r="Y119" s="11">
        <v>3</v>
      </c>
      <c r="Z119" s="12">
        <f t="shared" si="16"/>
        <v>8</v>
      </c>
      <c r="AA119" s="4" t="s">
        <v>117</v>
      </c>
      <c r="AC119" s="176">
        <f t="shared" si="21"/>
        <v>1.3636363636363636E-2</v>
      </c>
    </row>
    <row r="120" spans="1:29" customFormat="1">
      <c r="A120" s="181"/>
      <c r="B120" s="183">
        <f t="shared" si="17"/>
        <v>4</v>
      </c>
      <c r="C120" s="107" t="str">
        <f t="shared" si="18"/>
        <v>ATP</v>
      </c>
      <c r="D120" s="188" t="s">
        <v>141</v>
      </c>
      <c r="E120" s="3">
        <v>43843</v>
      </c>
      <c r="F120" s="3">
        <v>43853</v>
      </c>
      <c r="G120" s="108">
        <f t="shared" si="19"/>
        <v>1</v>
      </c>
      <c r="H120" s="108" t="str">
        <f t="shared" si="20"/>
        <v>수리불가</v>
      </c>
      <c r="I120" s="112" t="s">
        <v>601</v>
      </c>
      <c r="J120" s="4" t="s">
        <v>24</v>
      </c>
      <c r="K120" s="5" t="s">
        <v>24</v>
      </c>
      <c r="L120" s="6" t="str">
        <f t="shared" si="13"/>
        <v>ATP</v>
      </c>
      <c r="M120" s="13" t="s">
        <v>403</v>
      </c>
      <c r="N120" s="7" t="s">
        <v>3539</v>
      </c>
      <c r="O120" s="13" t="s">
        <v>398</v>
      </c>
      <c r="P120" s="115" t="s">
        <v>419</v>
      </c>
      <c r="Q120" s="8">
        <v>6086</v>
      </c>
      <c r="R120" s="2">
        <v>1</v>
      </c>
      <c r="S120" s="9">
        <v>2320</v>
      </c>
      <c r="T120" s="10">
        <f t="shared" si="14"/>
        <v>1160</v>
      </c>
      <c r="U120" s="9">
        <v>0</v>
      </c>
      <c r="V120" s="10">
        <f t="shared" si="15"/>
        <v>1160</v>
      </c>
      <c r="W120" s="4" t="s">
        <v>122</v>
      </c>
      <c r="X120" s="2"/>
      <c r="Y120" s="11">
        <v>1</v>
      </c>
      <c r="Z120" s="12">
        <f t="shared" si="16"/>
        <v>10</v>
      </c>
      <c r="AA120" s="4" t="s">
        <v>117</v>
      </c>
      <c r="AC120" s="176">
        <f t="shared" si="21"/>
        <v>0</v>
      </c>
    </row>
    <row r="121" spans="1:29" customFormat="1">
      <c r="A121" s="181"/>
      <c r="B121" s="183">
        <f t="shared" si="17"/>
        <v>3</v>
      </c>
      <c r="C121" s="107" t="str">
        <f t="shared" si="18"/>
        <v>ATK</v>
      </c>
      <c r="D121" s="2" t="s">
        <v>453</v>
      </c>
      <c r="E121" s="3">
        <v>43843</v>
      </c>
      <c r="F121" s="3">
        <v>43843</v>
      </c>
      <c r="G121" s="108">
        <f t="shared" si="19"/>
        <v>1</v>
      </c>
      <c r="H121" s="108" t="str">
        <f t="shared" si="20"/>
        <v>완료</v>
      </c>
      <c r="I121" s="112" t="s">
        <v>218</v>
      </c>
      <c r="J121" s="4" t="s">
        <v>118</v>
      </c>
      <c r="K121" s="5" t="s">
        <v>134</v>
      </c>
      <c r="L121" s="6" t="str">
        <f t="shared" si="13"/>
        <v>2T1</v>
      </c>
      <c r="M121" s="13" t="s">
        <v>454</v>
      </c>
      <c r="N121" s="7" t="s">
        <v>3484</v>
      </c>
      <c r="O121" s="13" t="s">
        <v>257</v>
      </c>
      <c r="P121" s="115"/>
      <c r="Q121" s="8"/>
      <c r="R121" s="2">
        <v>1</v>
      </c>
      <c r="S121" s="9">
        <v>1200</v>
      </c>
      <c r="T121" s="10">
        <f t="shared" si="14"/>
        <v>600</v>
      </c>
      <c r="U121" s="9">
        <v>25</v>
      </c>
      <c r="V121" s="10">
        <f t="shared" si="15"/>
        <v>575</v>
      </c>
      <c r="W121" s="4" t="s">
        <v>122</v>
      </c>
      <c r="X121" s="2"/>
      <c r="Y121" s="11">
        <v>2</v>
      </c>
      <c r="Z121" s="12">
        <f t="shared" si="16"/>
        <v>0</v>
      </c>
      <c r="AA121" s="4" t="s">
        <v>117</v>
      </c>
      <c r="AC121" s="176">
        <f t="shared" si="21"/>
        <v>2.2727272727272728E-2</v>
      </c>
    </row>
    <row r="122" spans="1:29" customFormat="1">
      <c r="A122" s="181"/>
      <c r="B122" s="183">
        <f t="shared" si="17"/>
        <v>5</v>
      </c>
      <c r="C122" s="107" t="str">
        <f t="shared" si="18"/>
        <v>ATK</v>
      </c>
      <c r="D122" s="2" t="s">
        <v>455</v>
      </c>
      <c r="E122" s="3">
        <v>43843</v>
      </c>
      <c r="F122" s="3">
        <v>43858</v>
      </c>
      <c r="G122" s="108">
        <f t="shared" si="19"/>
        <v>1</v>
      </c>
      <c r="H122" s="108" t="str">
        <f t="shared" si="20"/>
        <v>완료</v>
      </c>
      <c r="I122" s="112" t="s">
        <v>218</v>
      </c>
      <c r="J122" s="4" t="s">
        <v>118</v>
      </c>
      <c r="K122" s="5" t="s">
        <v>119</v>
      </c>
      <c r="L122" s="6" t="str">
        <f t="shared" si="13"/>
        <v>2T3</v>
      </c>
      <c r="M122" s="13" t="s">
        <v>456</v>
      </c>
      <c r="N122" s="7" t="s">
        <v>3491</v>
      </c>
      <c r="O122" s="13" t="s">
        <v>457</v>
      </c>
      <c r="P122" s="115"/>
      <c r="Q122" s="8"/>
      <c r="R122" s="2">
        <v>1</v>
      </c>
      <c r="S122" s="9">
        <v>5000</v>
      </c>
      <c r="T122" s="10">
        <f t="shared" si="14"/>
        <v>2500</v>
      </c>
      <c r="U122" s="9">
        <v>15</v>
      </c>
      <c r="V122" s="10">
        <f t="shared" si="15"/>
        <v>2485</v>
      </c>
      <c r="W122" s="4" t="s">
        <v>122</v>
      </c>
      <c r="X122" s="2"/>
      <c r="Y122" s="11">
        <v>12</v>
      </c>
      <c r="Z122" s="12">
        <f t="shared" si="16"/>
        <v>15</v>
      </c>
      <c r="AA122" s="4" t="s">
        <v>117</v>
      </c>
      <c r="AC122" s="176">
        <f t="shared" si="21"/>
        <v>1.3636363636363636E-2</v>
      </c>
    </row>
    <row r="123" spans="1:29" customFormat="1">
      <c r="A123" s="181"/>
      <c r="B123" s="183">
        <f t="shared" si="17"/>
        <v>3</v>
      </c>
      <c r="C123" s="107" t="str">
        <f t="shared" si="18"/>
        <v>ATK</v>
      </c>
      <c r="D123" s="2" t="s">
        <v>463</v>
      </c>
      <c r="E123" s="3">
        <v>43844</v>
      </c>
      <c r="F123" s="3">
        <v>43844</v>
      </c>
      <c r="G123" s="108">
        <f t="shared" si="19"/>
        <v>1</v>
      </c>
      <c r="H123" s="108" t="str">
        <f t="shared" si="20"/>
        <v>완료</v>
      </c>
      <c r="I123" s="112" t="s">
        <v>218</v>
      </c>
      <c r="J123" s="4" t="s">
        <v>121</v>
      </c>
      <c r="K123" s="5" t="s">
        <v>136</v>
      </c>
      <c r="L123" s="6" t="str">
        <f t="shared" si="13"/>
        <v>5T1</v>
      </c>
      <c r="M123" s="13"/>
      <c r="N123" s="7" t="s">
        <v>3509</v>
      </c>
      <c r="O123" s="13" t="s">
        <v>464</v>
      </c>
      <c r="P123" s="115"/>
      <c r="Q123" s="8"/>
      <c r="R123" s="2">
        <v>2</v>
      </c>
      <c r="S123" s="9">
        <v>1500</v>
      </c>
      <c r="T123" s="10">
        <f t="shared" si="14"/>
        <v>1500</v>
      </c>
      <c r="U123" s="9"/>
      <c r="V123" s="10">
        <f t="shared" si="15"/>
        <v>1500</v>
      </c>
      <c r="W123" s="4" t="s">
        <v>122</v>
      </c>
      <c r="X123" s="2"/>
      <c r="Y123" s="11">
        <v>8</v>
      </c>
      <c r="Z123" s="12">
        <f t="shared" si="16"/>
        <v>0</v>
      </c>
      <c r="AA123" s="4" t="s">
        <v>259</v>
      </c>
      <c r="AC123" s="176">
        <f t="shared" si="21"/>
        <v>0</v>
      </c>
    </row>
    <row r="124" spans="1:29" customFormat="1">
      <c r="A124" s="181"/>
      <c r="B124" s="183">
        <f t="shared" si="17"/>
        <v>3</v>
      </c>
      <c r="C124" s="107" t="str">
        <f t="shared" si="18"/>
        <v>ATK</v>
      </c>
      <c r="D124" s="2" t="s">
        <v>327</v>
      </c>
      <c r="E124" s="3">
        <v>43844</v>
      </c>
      <c r="F124" s="3">
        <v>43844</v>
      </c>
      <c r="G124" s="108">
        <f t="shared" si="19"/>
        <v>1</v>
      </c>
      <c r="H124" s="108" t="str">
        <f t="shared" si="20"/>
        <v>완료</v>
      </c>
      <c r="I124" s="112" t="s">
        <v>218</v>
      </c>
      <c r="J124" s="4" t="s">
        <v>281</v>
      </c>
      <c r="K124" s="5" t="s">
        <v>332</v>
      </c>
      <c r="L124" s="6" t="str">
        <f t="shared" si="13"/>
        <v>EE2</v>
      </c>
      <c r="M124" s="13" t="s">
        <v>226</v>
      </c>
      <c r="N124" s="7" t="s">
        <v>3500</v>
      </c>
      <c r="O124" s="13" t="s">
        <v>465</v>
      </c>
      <c r="P124" s="115"/>
      <c r="Q124" s="8"/>
      <c r="R124" s="2">
        <v>1</v>
      </c>
      <c r="S124" s="9">
        <v>1500</v>
      </c>
      <c r="T124" s="10">
        <f t="shared" si="14"/>
        <v>750</v>
      </c>
      <c r="U124" s="9">
        <v>50</v>
      </c>
      <c r="V124" s="10">
        <f t="shared" si="15"/>
        <v>700</v>
      </c>
      <c r="W124" s="4" t="s">
        <v>122</v>
      </c>
      <c r="X124" s="2"/>
      <c r="Y124" s="11">
        <v>2</v>
      </c>
      <c r="Z124" s="12">
        <f t="shared" si="16"/>
        <v>0</v>
      </c>
      <c r="AA124" s="4" t="s">
        <v>27</v>
      </c>
      <c r="AC124" s="176">
        <f t="shared" si="21"/>
        <v>4.5454545454545456E-2</v>
      </c>
    </row>
    <row r="125" spans="1:29" customFormat="1">
      <c r="A125" s="181"/>
      <c r="B125" s="183">
        <f t="shared" si="17"/>
        <v>3</v>
      </c>
      <c r="C125" s="107" t="str">
        <f t="shared" si="18"/>
        <v>ATK</v>
      </c>
      <c r="D125" s="2" t="s">
        <v>468</v>
      </c>
      <c r="E125" s="3">
        <v>43763</v>
      </c>
      <c r="F125" s="3">
        <v>43844</v>
      </c>
      <c r="G125" s="108">
        <f t="shared" si="19"/>
        <v>1</v>
      </c>
      <c r="H125" s="108" t="str">
        <f t="shared" si="20"/>
        <v>완료</v>
      </c>
      <c r="I125" s="112" t="s">
        <v>218</v>
      </c>
      <c r="J125" s="4" t="s">
        <v>243</v>
      </c>
      <c r="K125" s="5" t="s">
        <v>243</v>
      </c>
      <c r="L125" s="6" t="str">
        <f t="shared" si="13"/>
        <v>K5</v>
      </c>
      <c r="M125" s="13" t="s">
        <v>469</v>
      </c>
      <c r="N125" s="7"/>
      <c r="O125" s="13" t="s">
        <v>470</v>
      </c>
      <c r="P125" s="115" t="s">
        <v>471</v>
      </c>
      <c r="Q125" s="8"/>
      <c r="R125" s="2">
        <v>1</v>
      </c>
      <c r="S125" s="9">
        <v>12000</v>
      </c>
      <c r="T125" s="10">
        <f t="shared" si="14"/>
        <v>6000</v>
      </c>
      <c r="U125" s="9">
        <v>20</v>
      </c>
      <c r="V125" s="10">
        <f t="shared" si="15"/>
        <v>5980</v>
      </c>
      <c r="W125" s="4" t="s">
        <v>122</v>
      </c>
      <c r="X125" s="2"/>
      <c r="Y125" s="11">
        <v>27</v>
      </c>
      <c r="Z125" s="12">
        <f t="shared" si="16"/>
        <v>81</v>
      </c>
      <c r="AA125" s="4" t="s">
        <v>120</v>
      </c>
      <c r="AC125" s="176">
        <f t="shared" si="21"/>
        <v>1.8181818181818181E-2</v>
      </c>
    </row>
    <row r="126" spans="1:29" customFormat="1">
      <c r="A126" s="181"/>
      <c r="B126" s="183">
        <f t="shared" si="17"/>
        <v>3</v>
      </c>
      <c r="C126" s="107" t="str">
        <f t="shared" si="18"/>
        <v>ATK</v>
      </c>
      <c r="D126" s="2" t="s">
        <v>472</v>
      </c>
      <c r="E126" s="3">
        <v>43843</v>
      </c>
      <c r="F126" s="3">
        <v>43844</v>
      </c>
      <c r="G126" s="108">
        <f t="shared" si="19"/>
        <v>1</v>
      </c>
      <c r="H126" s="108" t="str">
        <f t="shared" si="20"/>
        <v>완료</v>
      </c>
      <c r="I126" s="112" t="s">
        <v>218</v>
      </c>
      <c r="J126" s="4" t="s">
        <v>121</v>
      </c>
      <c r="K126" s="5" t="s">
        <v>229</v>
      </c>
      <c r="L126" s="6" t="str">
        <f t="shared" si="13"/>
        <v>5T2</v>
      </c>
      <c r="M126" s="13" t="s">
        <v>473</v>
      </c>
      <c r="N126" s="7" t="s">
        <v>3541</v>
      </c>
      <c r="O126" s="13" t="s">
        <v>474</v>
      </c>
      <c r="P126" s="115" t="s">
        <v>476</v>
      </c>
      <c r="Q126" s="8" t="s">
        <v>475</v>
      </c>
      <c r="R126" s="2">
        <v>1</v>
      </c>
      <c r="S126" s="9">
        <v>14000</v>
      </c>
      <c r="T126" s="10">
        <f t="shared" si="14"/>
        <v>7000</v>
      </c>
      <c r="U126" s="9">
        <v>800</v>
      </c>
      <c r="V126" s="10">
        <f t="shared" si="15"/>
        <v>6200</v>
      </c>
      <c r="W126" s="4" t="s">
        <v>122</v>
      </c>
      <c r="X126" s="2"/>
      <c r="Y126" s="11">
        <v>9</v>
      </c>
      <c r="Z126" s="12">
        <f t="shared" si="16"/>
        <v>1</v>
      </c>
      <c r="AA126" s="4" t="s">
        <v>120</v>
      </c>
      <c r="AC126" s="176">
        <f t="shared" si="21"/>
        <v>0.72727272727272729</v>
      </c>
    </row>
    <row r="127" spans="1:29" customFormat="1">
      <c r="A127" s="181"/>
      <c r="B127" s="183">
        <f t="shared" si="17"/>
        <v>3</v>
      </c>
      <c r="C127" s="107" t="str">
        <f t="shared" si="18"/>
        <v>ATK</v>
      </c>
      <c r="D127" s="2" t="s">
        <v>312</v>
      </c>
      <c r="E127" s="3">
        <v>43844</v>
      </c>
      <c r="F127" s="3">
        <v>43845</v>
      </c>
      <c r="G127" s="108">
        <f t="shared" si="19"/>
        <v>1</v>
      </c>
      <c r="H127" s="108" t="str">
        <f t="shared" si="20"/>
        <v>완료</v>
      </c>
      <c r="I127" s="112" t="s">
        <v>218</v>
      </c>
      <c r="J127" s="4" t="s">
        <v>118</v>
      </c>
      <c r="K127" s="5" t="s">
        <v>119</v>
      </c>
      <c r="L127" s="6" t="str">
        <f t="shared" si="13"/>
        <v>2T3</v>
      </c>
      <c r="M127" s="13" t="s">
        <v>256</v>
      </c>
      <c r="N127" s="7" t="s">
        <v>3542</v>
      </c>
      <c r="O127" s="13" t="s">
        <v>478</v>
      </c>
      <c r="P127" s="115" t="s">
        <v>479</v>
      </c>
      <c r="Q127" s="8"/>
      <c r="R127" s="2">
        <v>1</v>
      </c>
      <c r="S127" s="9">
        <v>1600</v>
      </c>
      <c r="T127" s="10">
        <f t="shared" si="14"/>
        <v>800</v>
      </c>
      <c r="U127" s="9">
        <v>10</v>
      </c>
      <c r="V127" s="10">
        <f t="shared" si="15"/>
        <v>790</v>
      </c>
      <c r="W127" s="4" t="s">
        <v>122</v>
      </c>
      <c r="X127" s="2"/>
      <c r="Y127" s="11">
        <v>4</v>
      </c>
      <c r="Z127" s="12">
        <f t="shared" si="16"/>
        <v>1</v>
      </c>
      <c r="AA127" s="4" t="s">
        <v>27</v>
      </c>
      <c r="AC127" s="176">
        <f t="shared" si="21"/>
        <v>9.0909090909090905E-3</v>
      </c>
    </row>
    <row r="128" spans="1:29" customFormat="1">
      <c r="A128" s="181"/>
      <c r="B128" s="183">
        <f t="shared" si="17"/>
        <v>8</v>
      </c>
      <c r="C128" s="107" t="str">
        <f t="shared" si="18"/>
        <v>ATK</v>
      </c>
      <c r="D128" s="2" t="s">
        <v>480</v>
      </c>
      <c r="E128" s="3">
        <v>43844</v>
      </c>
      <c r="F128" s="3">
        <v>43878</v>
      </c>
      <c r="G128" s="108">
        <f t="shared" si="19"/>
        <v>2</v>
      </c>
      <c r="H128" s="108" t="str">
        <f t="shared" si="20"/>
        <v>완료</v>
      </c>
      <c r="I128" s="112" t="s">
        <v>218</v>
      </c>
      <c r="J128" s="4" t="s">
        <v>481</v>
      </c>
      <c r="K128" s="5" t="s">
        <v>119</v>
      </c>
      <c r="L128" s="6" t="str">
        <f t="shared" si="13"/>
        <v>2T3</v>
      </c>
      <c r="M128" s="13" t="s">
        <v>256</v>
      </c>
      <c r="N128" s="7" t="s">
        <v>3529</v>
      </c>
      <c r="O128" s="13" t="s">
        <v>1427</v>
      </c>
      <c r="P128" s="115" t="s">
        <v>483</v>
      </c>
      <c r="Q128" s="8"/>
      <c r="R128" s="2">
        <v>3</v>
      </c>
      <c r="S128" s="9">
        <v>1500</v>
      </c>
      <c r="T128" s="10">
        <f t="shared" si="14"/>
        <v>2250</v>
      </c>
      <c r="U128" s="9">
        <v>50</v>
      </c>
      <c r="V128" s="10">
        <f t="shared" si="15"/>
        <v>2200</v>
      </c>
      <c r="W128" s="4" t="s">
        <v>122</v>
      </c>
      <c r="X128" s="2"/>
      <c r="Y128" s="11">
        <v>4</v>
      </c>
      <c r="Z128" s="12">
        <f t="shared" si="16"/>
        <v>34</v>
      </c>
      <c r="AA128" s="4" t="s">
        <v>30</v>
      </c>
      <c r="AC128" s="176">
        <f t="shared" si="21"/>
        <v>4.5454545454545456E-2</v>
      </c>
    </row>
    <row r="129" spans="1:29" customFormat="1">
      <c r="A129" s="181"/>
      <c r="B129" s="183">
        <f t="shared" si="17"/>
        <v>5</v>
      </c>
      <c r="C129" s="107" t="str">
        <f t="shared" si="18"/>
        <v>ATK</v>
      </c>
      <c r="D129" s="2" t="s">
        <v>487</v>
      </c>
      <c r="E129" s="3">
        <v>43845</v>
      </c>
      <c r="F129" s="3">
        <v>43859</v>
      </c>
      <c r="G129" s="108">
        <f t="shared" si="19"/>
        <v>1</v>
      </c>
      <c r="H129" s="108" t="str">
        <f t="shared" si="20"/>
        <v>완료</v>
      </c>
      <c r="I129" s="112" t="s">
        <v>218</v>
      </c>
      <c r="J129" s="4" t="s">
        <v>118</v>
      </c>
      <c r="K129" s="5" t="s">
        <v>119</v>
      </c>
      <c r="L129" s="6" t="str">
        <f t="shared" si="13"/>
        <v>2T3</v>
      </c>
      <c r="M129" s="13" t="s">
        <v>256</v>
      </c>
      <c r="N129" s="7" t="s">
        <v>3542</v>
      </c>
      <c r="O129" s="13" t="s">
        <v>478</v>
      </c>
      <c r="P129" s="115" t="s">
        <v>488</v>
      </c>
      <c r="Q129" s="8"/>
      <c r="R129" s="2">
        <v>1</v>
      </c>
      <c r="S129" s="9">
        <v>1600</v>
      </c>
      <c r="T129" s="10">
        <f t="shared" si="14"/>
        <v>800</v>
      </c>
      <c r="U129" s="9">
        <v>50</v>
      </c>
      <c r="V129" s="10">
        <f t="shared" si="15"/>
        <v>750</v>
      </c>
      <c r="W129" s="4" t="s">
        <v>122</v>
      </c>
      <c r="X129" s="2"/>
      <c r="Y129" s="11">
        <v>3</v>
      </c>
      <c r="Z129" s="12">
        <f t="shared" si="16"/>
        <v>14</v>
      </c>
      <c r="AA129" s="4" t="s">
        <v>27</v>
      </c>
      <c r="AC129" s="176">
        <f t="shared" si="21"/>
        <v>4.5454545454545456E-2</v>
      </c>
    </row>
    <row r="130" spans="1:29" customFormat="1">
      <c r="A130" s="181"/>
      <c r="B130" s="183">
        <f t="shared" si="17"/>
        <v>3</v>
      </c>
      <c r="C130" s="107" t="str">
        <f t="shared" si="18"/>
        <v>ATK</v>
      </c>
      <c r="D130" s="2" t="s">
        <v>492</v>
      </c>
      <c r="E130" s="3">
        <v>43845</v>
      </c>
      <c r="F130" s="3">
        <v>43845</v>
      </c>
      <c r="G130" s="108">
        <f t="shared" si="19"/>
        <v>1</v>
      </c>
      <c r="H130" s="108" t="str">
        <f t="shared" si="20"/>
        <v>완료</v>
      </c>
      <c r="I130" s="112" t="s">
        <v>218</v>
      </c>
      <c r="J130" s="4" t="s">
        <v>115</v>
      </c>
      <c r="K130" s="5" t="s">
        <v>138</v>
      </c>
      <c r="L130" s="6" t="str">
        <f t="shared" ref="L130:L193" si="22">LEFT(K130,3)</f>
        <v>EE1</v>
      </c>
      <c r="M130" s="13" t="s">
        <v>256</v>
      </c>
      <c r="N130" s="7" t="s">
        <v>3543</v>
      </c>
      <c r="O130" s="13" t="s">
        <v>257</v>
      </c>
      <c r="P130" s="115" t="s">
        <v>493</v>
      </c>
      <c r="Q130" s="8" t="s">
        <v>494</v>
      </c>
      <c r="R130" s="2">
        <v>1</v>
      </c>
      <c r="S130" s="9">
        <v>3500</v>
      </c>
      <c r="T130" s="10">
        <f t="shared" ref="T130:T193" si="23">(S130*50)/100*R130</f>
        <v>1750</v>
      </c>
      <c r="U130" s="9"/>
      <c r="V130" s="10">
        <f t="shared" ref="V130:V193" si="24">T130-U130</f>
        <v>1750</v>
      </c>
      <c r="W130" s="4" t="s">
        <v>122</v>
      </c>
      <c r="X130" s="2"/>
      <c r="Y130" s="11">
        <v>8</v>
      </c>
      <c r="Z130" s="12">
        <f t="shared" ref="Z130:Z193" si="25">F130-E130</f>
        <v>0</v>
      </c>
      <c r="AA130" s="4" t="s">
        <v>259</v>
      </c>
      <c r="AC130" s="176">
        <f t="shared" si="21"/>
        <v>0</v>
      </c>
    </row>
    <row r="131" spans="1:29" customFormat="1">
      <c r="A131" s="181"/>
      <c r="B131" s="183">
        <f t="shared" ref="B131:B194" si="26">IF(F131&gt;0,IFERROR(WEEKNUM(F131),""),"")</f>
        <v>3</v>
      </c>
      <c r="C131" s="107" t="str">
        <f t="shared" ref="C131:C194" si="27">IF(D131=0,"",(IF(LEFT(D131,3)="ATK","ATK",IF(LEFT(D131,2)="AT",D131,"ATK"))))</f>
        <v>ATK</v>
      </c>
      <c r="D131" s="2" t="s">
        <v>236</v>
      </c>
      <c r="E131" s="3">
        <v>43845</v>
      </c>
      <c r="F131" s="3">
        <v>43845</v>
      </c>
      <c r="G131" s="108">
        <f t="shared" ref="G131:G194" si="28">IF(F131&gt;0,MONTH(F131),"")</f>
        <v>1</v>
      </c>
      <c r="H131" s="108" t="str">
        <f t="shared" ref="H131:H194" si="29">IF(I131=0,"",IF(RIGHT(I131,2)="완료","완료",IF(RIGHT(I131,2)="불가","수리불가",IF(RIGHT(I131,1)="중","수리중","Other"))))</f>
        <v>완료</v>
      </c>
      <c r="I131" s="112" t="s">
        <v>218</v>
      </c>
      <c r="J131" s="4" t="s">
        <v>118</v>
      </c>
      <c r="K131" s="5" t="s">
        <v>119</v>
      </c>
      <c r="L131" s="6" t="str">
        <f t="shared" si="22"/>
        <v>2T3</v>
      </c>
      <c r="M131" s="13" t="s">
        <v>305</v>
      </c>
      <c r="N131" s="7" t="s">
        <v>140</v>
      </c>
      <c r="O131" s="13" t="s">
        <v>225</v>
      </c>
      <c r="P131" s="115" t="s">
        <v>330</v>
      </c>
      <c r="Q131" s="8"/>
      <c r="R131" s="2">
        <v>1</v>
      </c>
      <c r="S131" s="9">
        <v>2500</v>
      </c>
      <c r="T131" s="10">
        <f t="shared" si="23"/>
        <v>1250</v>
      </c>
      <c r="U131" s="9">
        <v>0</v>
      </c>
      <c r="V131" s="10">
        <f t="shared" si="24"/>
        <v>1250</v>
      </c>
      <c r="W131" s="4" t="s">
        <v>122</v>
      </c>
      <c r="X131" s="2"/>
      <c r="Y131" s="11">
        <v>2</v>
      </c>
      <c r="Z131" s="12">
        <f t="shared" si="25"/>
        <v>0</v>
      </c>
      <c r="AA131" s="4" t="s">
        <v>27</v>
      </c>
      <c r="AC131" s="176">
        <f t="shared" ref="AC131:AC193" si="30">U131/1100</f>
        <v>0</v>
      </c>
    </row>
    <row r="132" spans="1:29" customFormat="1">
      <c r="A132" s="181"/>
      <c r="B132" s="183">
        <f t="shared" si="26"/>
        <v>3</v>
      </c>
      <c r="C132" s="107" t="str">
        <f t="shared" si="27"/>
        <v>ATK</v>
      </c>
      <c r="D132" s="2" t="s">
        <v>327</v>
      </c>
      <c r="E132" s="3">
        <v>43845</v>
      </c>
      <c r="F132" s="3">
        <v>43845</v>
      </c>
      <c r="G132" s="108">
        <f t="shared" si="28"/>
        <v>1</v>
      </c>
      <c r="H132" s="108" t="str">
        <f t="shared" si="29"/>
        <v>완료</v>
      </c>
      <c r="I132" s="112" t="s">
        <v>218</v>
      </c>
      <c r="J132" s="4" t="s">
        <v>115</v>
      </c>
      <c r="K132" s="5" t="s">
        <v>116</v>
      </c>
      <c r="L132" s="6" t="str">
        <f t="shared" si="22"/>
        <v>EE2</v>
      </c>
      <c r="M132" s="13" t="s">
        <v>495</v>
      </c>
      <c r="N132" s="7" t="s">
        <v>3544</v>
      </c>
      <c r="O132" s="13" t="s">
        <v>496</v>
      </c>
      <c r="P132" s="115" t="s">
        <v>497</v>
      </c>
      <c r="Q132" s="8"/>
      <c r="R132" s="2">
        <v>1</v>
      </c>
      <c r="S132" s="9">
        <v>2000</v>
      </c>
      <c r="T132" s="10">
        <f t="shared" si="23"/>
        <v>1000</v>
      </c>
      <c r="U132" s="9"/>
      <c r="V132" s="10">
        <f t="shared" si="24"/>
        <v>1000</v>
      </c>
      <c r="W132" s="4" t="s">
        <v>122</v>
      </c>
      <c r="X132" s="2"/>
      <c r="Y132" s="11">
        <v>7</v>
      </c>
      <c r="Z132" s="12">
        <f t="shared" si="25"/>
        <v>0</v>
      </c>
      <c r="AA132" s="4" t="s">
        <v>212</v>
      </c>
      <c r="AC132" s="176">
        <f t="shared" si="30"/>
        <v>0</v>
      </c>
    </row>
    <row r="133" spans="1:29" customFormat="1">
      <c r="A133" s="181"/>
      <c r="B133" s="183">
        <f t="shared" si="26"/>
        <v>8</v>
      </c>
      <c r="C133" s="107" t="str">
        <f t="shared" si="27"/>
        <v>ATK</v>
      </c>
      <c r="D133" s="2" t="s">
        <v>498</v>
      </c>
      <c r="E133" s="3">
        <v>43845</v>
      </c>
      <c r="F133" s="3">
        <v>43882</v>
      </c>
      <c r="G133" s="108">
        <f t="shared" si="28"/>
        <v>2</v>
      </c>
      <c r="H133" s="108" t="str">
        <f t="shared" si="29"/>
        <v>완료</v>
      </c>
      <c r="I133" s="112" t="s">
        <v>514</v>
      </c>
      <c r="J133" s="4" t="s">
        <v>499</v>
      </c>
      <c r="K133" s="5" t="s">
        <v>499</v>
      </c>
      <c r="L133" s="6" t="str">
        <f t="shared" si="22"/>
        <v>QA</v>
      </c>
      <c r="M133" s="13"/>
      <c r="N133" s="7" t="s">
        <v>3545</v>
      </c>
      <c r="O133" s="13" t="s">
        <v>508</v>
      </c>
      <c r="P133" s="115" t="s">
        <v>500</v>
      </c>
      <c r="Q133" s="8"/>
      <c r="R133" s="2">
        <v>1</v>
      </c>
      <c r="S133" s="9">
        <v>8000</v>
      </c>
      <c r="T133" s="10">
        <f t="shared" si="23"/>
        <v>4000</v>
      </c>
      <c r="U133" s="9">
        <v>2500</v>
      </c>
      <c r="V133" s="10">
        <f t="shared" si="24"/>
        <v>1500</v>
      </c>
      <c r="W133" s="4" t="s">
        <v>123</v>
      </c>
      <c r="X133" s="2" t="s">
        <v>124</v>
      </c>
      <c r="Y133" s="11">
        <v>7</v>
      </c>
      <c r="Z133" s="12">
        <f t="shared" si="25"/>
        <v>37</v>
      </c>
      <c r="AA133" s="4" t="s">
        <v>117</v>
      </c>
      <c r="AC133" s="176">
        <f t="shared" si="30"/>
        <v>2.2727272727272729</v>
      </c>
    </row>
    <row r="134" spans="1:29" customFormat="1">
      <c r="A134" s="181"/>
      <c r="B134" s="183">
        <f t="shared" si="26"/>
        <v>3</v>
      </c>
      <c r="C134" s="107" t="str">
        <f t="shared" si="27"/>
        <v>ATK</v>
      </c>
      <c r="D134" s="2" t="s">
        <v>501</v>
      </c>
      <c r="E134" s="3">
        <v>43845</v>
      </c>
      <c r="F134" s="3">
        <v>43846</v>
      </c>
      <c r="G134" s="108">
        <f t="shared" si="28"/>
        <v>1</v>
      </c>
      <c r="H134" s="108" t="str">
        <f t="shared" si="29"/>
        <v>완료</v>
      </c>
      <c r="I134" s="112" t="s">
        <v>218</v>
      </c>
      <c r="J134" s="4" t="s">
        <v>118</v>
      </c>
      <c r="K134" s="5" t="s">
        <v>119</v>
      </c>
      <c r="L134" s="6" t="str">
        <f t="shared" si="22"/>
        <v>2T3</v>
      </c>
      <c r="M134" s="13"/>
      <c r="N134" s="7" t="s">
        <v>3546</v>
      </c>
      <c r="O134" s="13" t="s">
        <v>502</v>
      </c>
      <c r="P134" s="115"/>
      <c r="Q134" s="8"/>
      <c r="R134" s="2">
        <v>1</v>
      </c>
      <c r="S134" s="9">
        <v>600</v>
      </c>
      <c r="T134" s="10">
        <f t="shared" si="23"/>
        <v>300</v>
      </c>
      <c r="U134" s="9">
        <v>5</v>
      </c>
      <c r="V134" s="10">
        <f t="shared" si="24"/>
        <v>295</v>
      </c>
      <c r="W134" s="4" t="s">
        <v>122</v>
      </c>
      <c r="X134" s="2"/>
      <c r="Y134" s="11">
        <v>1</v>
      </c>
      <c r="Z134" s="12">
        <f t="shared" si="25"/>
        <v>1</v>
      </c>
      <c r="AA134" s="4" t="s">
        <v>117</v>
      </c>
      <c r="AC134" s="176">
        <f t="shared" si="30"/>
        <v>4.5454545454545452E-3</v>
      </c>
    </row>
    <row r="135" spans="1:29" customFormat="1">
      <c r="A135" s="181"/>
      <c r="B135" s="183">
        <f t="shared" si="26"/>
        <v>3</v>
      </c>
      <c r="C135" s="107" t="str">
        <f t="shared" si="27"/>
        <v>ATK</v>
      </c>
      <c r="D135" s="2" t="s">
        <v>503</v>
      </c>
      <c r="E135" s="3">
        <v>43845</v>
      </c>
      <c r="F135" s="3">
        <v>43845</v>
      </c>
      <c r="G135" s="108">
        <f t="shared" si="28"/>
        <v>1</v>
      </c>
      <c r="H135" s="108" t="str">
        <f t="shared" si="29"/>
        <v>Other</v>
      </c>
      <c r="I135" s="112" t="s">
        <v>251</v>
      </c>
      <c r="J135" s="4" t="s">
        <v>281</v>
      </c>
      <c r="K135" s="5" t="s">
        <v>332</v>
      </c>
      <c r="L135" s="6" t="str">
        <f t="shared" si="22"/>
        <v>EE2</v>
      </c>
      <c r="M135" s="13" t="s">
        <v>226</v>
      </c>
      <c r="N135" s="7" t="s">
        <v>140</v>
      </c>
      <c r="O135" s="13" t="s">
        <v>505</v>
      </c>
      <c r="P135" s="13" t="s">
        <v>505</v>
      </c>
      <c r="Q135" s="8"/>
      <c r="R135" s="2">
        <v>2</v>
      </c>
      <c r="S135" s="9">
        <v>0</v>
      </c>
      <c r="T135" s="10">
        <f t="shared" si="23"/>
        <v>0</v>
      </c>
      <c r="U135" s="9">
        <v>0</v>
      </c>
      <c r="V135" s="10">
        <f t="shared" si="24"/>
        <v>0</v>
      </c>
      <c r="W135" s="4" t="s">
        <v>122</v>
      </c>
      <c r="X135" s="2"/>
      <c r="Y135" s="11">
        <v>2</v>
      </c>
      <c r="Z135" s="12">
        <f t="shared" si="25"/>
        <v>0</v>
      </c>
      <c r="AA135" s="4" t="s">
        <v>27</v>
      </c>
      <c r="AC135" s="176">
        <f t="shared" si="30"/>
        <v>0</v>
      </c>
    </row>
    <row r="136" spans="1:29" customFormat="1">
      <c r="A136" s="181"/>
      <c r="B136" s="183">
        <f t="shared" si="26"/>
        <v>9</v>
      </c>
      <c r="C136" s="107" t="str">
        <f t="shared" si="27"/>
        <v>ATK</v>
      </c>
      <c r="D136" s="2" t="s">
        <v>504</v>
      </c>
      <c r="E136" s="3">
        <v>43845</v>
      </c>
      <c r="F136" s="3">
        <v>43885</v>
      </c>
      <c r="G136" s="108">
        <f t="shared" si="28"/>
        <v>2</v>
      </c>
      <c r="H136" s="108" t="str">
        <f t="shared" si="29"/>
        <v>완료</v>
      </c>
      <c r="I136" s="112" t="s">
        <v>218</v>
      </c>
      <c r="J136" s="4" t="s">
        <v>281</v>
      </c>
      <c r="K136" s="5" t="s">
        <v>332</v>
      </c>
      <c r="L136" s="6" t="str">
        <f t="shared" si="22"/>
        <v>EE2</v>
      </c>
      <c r="M136" s="13" t="s">
        <v>256</v>
      </c>
      <c r="N136" s="7" t="s">
        <v>3542</v>
      </c>
      <c r="O136" s="13" t="s">
        <v>482</v>
      </c>
      <c r="P136" s="115" t="s">
        <v>506</v>
      </c>
      <c r="Q136" s="8"/>
      <c r="R136" s="2">
        <v>1</v>
      </c>
      <c r="S136" s="9">
        <v>1600</v>
      </c>
      <c r="T136" s="10">
        <f t="shared" si="23"/>
        <v>800</v>
      </c>
      <c r="U136" s="9">
        <v>5</v>
      </c>
      <c r="V136" s="10">
        <f t="shared" si="24"/>
        <v>795</v>
      </c>
      <c r="W136" s="4" t="s">
        <v>122</v>
      </c>
      <c r="X136" s="2"/>
      <c r="Y136" s="11">
        <v>2</v>
      </c>
      <c r="Z136" s="12">
        <f t="shared" si="25"/>
        <v>40</v>
      </c>
      <c r="AA136" s="4" t="s">
        <v>27</v>
      </c>
      <c r="AC136" s="176">
        <f t="shared" si="30"/>
        <v>4.5454545454545452E-3</v>
      </c>
    </row>
    <row r="137" spans="1:29" customFormat="1">
      <c r="A137" s="181"/>
      <c r="B137" s="183">
        <f t="shared" si="26"/>
        <v>3</v>
      </c>
      <c r="C137" s="107" t="str">
        <f t="shared" si="27"/>
        <v>ATK</v>
      </c>
      <c r="D137" s="2" t="s">
        <v>510</v>
      </c>
      <c r="E137" s="3">
        <v>43847</v>
      </c>
      <c r="F137" s="3">
        <v>43847</v>
      </c>
      <c r="G137" s="108">
        <f t="shared" si="28"/>
        <v>1</v>
      </c>
      <c r="H137" s="108" t="str">
        <f t="shared" si="29"/>
        <v>완료</v>
      </c>
      <c r="I137" s="112" t="s">
        <v>218</v>
      </c>
      <c r="J137" s="4" t="s">
        <v>336</v>
      </c>
      <c r="K137" s="5" t="s">
        <v>336</v>
      </c>
      <c r="L137" s="6" t="str">
        <f t="shared" si="22"/>
        <v>PM</v>
      </c>
      <c r="M137" s="13"/>
      <c r="N137" s="7" t="s">
        <v>3547</v>
      </c>
      <c r="O137" s="13" t="s">
        <v>511</v>
      </c>
      <c r="P137" s="115"/>
      <c r="Q137" s="8"/>
      <c r="R137" s="2">
        <v>1</v>
      </c>
      <c r="S137" s="9">
        <v>130</v>
      </c>
      <c r="T137" s="10">
        <f t="shared" si="23"/>
        <v>65</v>
      </c>
      <c r="U137" s="9">
        <v>0</v>
      </c>
      <c r="V137" s="10">
        <f t="shared" si="24"/>
        <v>65</v>
      </c>
      <c r="W137" s="4" t="s">
        <v>122</v>
      </c>
      <c r="X137" s="2"/>
      <c r="Y137" s="11">
        <v>0.5</v>
      </c>
      <c r="Z137" s="12">
        <f t="shared" si="25"/>
        <v>0</v>
      </c>
      <c r="AA137" s="4" t="s">
        <v>117</v>
      </c>
      <c r="AC137" s="176">
        <f t="shared" si="30"/>
        <v>0</v>
      </c>
    </row>
    <row r="138" spans="1:29" customFormat="1">
      <c r="A138" s="181"/>
      <c r="B138" s="183">
        <f t="shared" si="26"/>
        <v>3</v>
      </c>
      <c r="C138" s="107" t="str">
        <f t="shared" si="27"/>
        <v>ATK</v>
      </c>
      <c r="D138" s="2" t="s">
        <v>512</v>
      </c>
      <c r="E138" s="3">
        <v>43847</v>
      </c>
      <c r="F138" s="3">
        <v>43847</v>
      </c>
      <c r="G138" s="108">
        <f t="shared" si="28"/>
        <v>1</v>
      </c>
      <c r="H138" s="108" t="str">
        <f t="shared" si="29"/>
        <v>완료</v>
      </c>
      <c r="I138" s="112" t="s">
        <v>218</v>
      </c>
      <c r="J138" s="4" t="s">
        <v>118</v>
      </c>
      <c r="K138" s="5" t="s">
        <v>137</v>
      </c>
      <c r="L138" s="6" t="str">
        <f t="shared" si="22"/>
        <v>2T2</v>
      </c>
      <c r="M138" s="13" t="s">
        <v>256</v>
      </c>
      <c r="N138" s="7" t="s">
        <v>3535</v>
      </c>
      <c r="O138" s="13" t="s">
        <v>482</v>
      </c>
      <c r="P138" s="115" t="s">
        <v>513</v>
      </c>
      <c r="Q138" s="8"/>
      <c r="R138" s="2">
        <v>1</v>
      </c>
      <c r="S138" s="9">
        <v>1600</v>
      </c>
      <c r="T138" s="10">
        <f t="shared" si="23"/>
        <v>800</v>
      </c>
      <c r="U138" s="9">
        <v>0</v>
      </c>
      <c r="V138" s="10">
        <f t="shared" si="24"/>
        <v>800</v>
      </c>
      <c r="W138" s="4" t="s">
        <v>122</v>
      </c>
      <c r="X138" s="2"/>
      <c r="Y138" s="11">
        <v>0.5</v>
      </c>
      <c r="Z138" s="12">
        <f t="shared" si="25"/>
        <v>0</v>
      </c>
      <c r="AA138" s="4" t="s">
        <v>117</v>
      </c>
      <c r="AC138" s="176">
        <f t="shared" si="30"/>
        <v>0</v>
      </c>
    </row>
    <row r="139" spans="1:29" customFormat="1">
      <c r="A139" s="181"/>
      <c r="B139" s="183">
        <f t="shared" si="26"/>
        <v>3</v>
      </c>
      <c r="C139" s="107" t="str">
        <f t="shared" si="27"/>
        <v>ATK</v>
      </c>
      <c r="D139" s="2" t="s">
        <v>517</v>
      </c>
      <c r="E139" s="3">
        <v>43847</v>
      </c>
      <c r="F139" s="3">
        <v>43847</v>
      </c>
      <c r="G139" s="108">
        <f t="shared" si="28"/>
        <v>1</v>
      </c>
      <c r="H139" s="108" t="str">
        <f t="shared" si="29"/>
        <v>완료</v>
      </c>
      <c r="I139" s="112" t="s">
        <v>218</v>
      </c>
      <c r="J139" s="4" t="s">
        <v>132</v>
      </c>
      <c r="K139" s="5" t="s">
        <v>143</v>
      </c>
      <c r="L139" s="6" t="str">
        <f t="shared" si="22"/>
        <v>3T4</v>
      </c>
      <c r="M139" s="13"/>
      <c r="N139" s="7" t="s">
        <v>3548</v>
      </c>
      <c r="O139" s="13" t="s">
        <v>367</v>
      </c>
      <c r="P139" s="115" t="s">
        <v>518</v>
      </c>
      <c r="Q139" s="8"/>
      <c r="R139" s="2">
        <v>1</v>
      </c>
      <c r="S139" s="9">
        <v>1500</v>
      </c>
      <c r="T139" s="10">
        <f t="shared" si="23"/>
        <v>750</v>
      </c>
      <c r="U139" s="9"/>
      <c r="V139" s="10">
        <f t="shared" si="24"/>
        <v>750</v>
      </c>
      <c r="W139" s="4" t="s">
        <v>122</v>
      </c>
      <c r="X139" s="2"/>
      <c r="Y139" s="11">
        <v>8</v>
      </c>
      <c r="Z139" s="12">
        <f t="shared" si="25"/>
        <v>0</v>
      </c>
      <c r="AA139" s="4" t="s">
        <v>259</v>
      </c>
      <c r="AC139" s="176">
        <f t="shared" si="30"/>
        <v>0</v>
      </c>
    </row>
    <row r="140" spans="1:29" customFormat="1">
      <c r="A140" s="181"/>
      <c r="B140" s="183">
        <f t="shared" si="26"/>
        <v>4</v>
      </c>
      <c r="C140" s="107" t="str">
        <f t="shared" si="27"/>
        <v>ATK</v>
      </c>
      <c r="D140" s="2" t="s">
        <v>520</v>
      </c>
      <c r="E140" s="3">
        <v>43850</v>
      </c>
      <c r="F140" s="3">
        <v>43850</v>
      </c>
      <c r="G140" s="108">
        <f t="shared" si="28"/>
        <v>1</v>
      </c>
      <c r="H140" s="108" t="str">
        <f t="shared" si="29"/>
        <v>완료</v>
      </c>
      <c r="I140" s="112" t="s">
        <v>218</v>
      </c>
      <c r="J140" s="4" t="s">
        <v>121</v>
      </c>
      <c r="K140" s="5" t="s">
        <v>136</v>
      </c>
      <c r="L140" s="6" t="str">
        <f t="shared" si="22"/>
        <v>5T1</v>
      </c>
      <c r="M140" s="13" t="s">
        <v>242</v>
      </c>
      <c r="N140" s="7" t="s">
        <v>3549</v>
      </c>
      <c r="O140" s="13" t="s">
        <v>464</v>
      </c>
      <c r="P140" s="115" t="s">
        <v>540</v>
      </c>
      <c r="Q140" s="8"/>
      <c r="R140" s="2">
        <v>1</v>
      </c>
      <c r="S140" s="9">
        <v>2000</v>
      </c>
      <c r="T140" s="10">
        <f t="shared" si="23"/>
        <v>1000</v>
      </c>
      <c r="U140" s="9">
        <v>0</v>
      </c>
      <c r="V140" s="10">
        <f t="shared" si="24"/>
        <v>1000</v>
      </c>
      <c r="W140" s="4" t="s">
        <v>122</v>
      </c>
      <c r="X140" s="2"/>
      <c r="Y140" s="11">
        <v>2</v>
      </c>
      <c r="Z140" s="12">
        <f t="shared" si="25"/>
        <v>0</v>
      </c>
      <c r="AA140" s="4" t="s">
        <v>212</v>
      </c>
      <c r="AC140" s="176">
        <f t="shared" si="30"/>
        <v>0</v>
      </c>
    </row>
    <row r="141" spans="1:29" customFormat="1">
      <c r="A141" s="181"/>
      <c r="B141" s="183">
        <f t="shared" si="26"/>
        <v>5</v>
      </c>
      <c r="C141" s="107" t="str">
        <f t="shared" si="27"/>
        <v>ATK</v>
      </c>
      <c r="D141" s="2" t="s">
        <v>520</v>
      </c>
      <c r="E141" s="3">
        <v>43850</v>
      </c>
      <c r="F141" s="3">
        <v>43859</v>
      </c>
      <c r="G141" s="108">
        <f t="shared" si="28"/>
        <v>1</v>
      </c>
      <c r="H141" s="108" t="str">
        <f t="shared" si="29"/>
        <v>Other</v>
      </c>
      <c r="I141" s="112" t="s">
        <v>317</v>
      </c>
      <c r="J141" s="4" t="s">
        <v>121</v>
      </c>
      <c r="K141" s="5" t="s">
        <v>136</v>
      </c>
      <c r="L141" s="6" t="str">
        <f t="shared" si="22"/>
        <v>5T1</v>
      </c>
      <c r="M141" s="13" t="s">
        <v>521</v>
      </c>
      <c r="N141" s="7" t="s">
        <v>3549</v>
      </c>
      <c r="O141" s="13" t="s">
        <v>464</v>
      </c>
      <c r="P141" s="115" t="s">
        <v>669</v>
      </c>
      <c r="Q141" s="8"/>
      <c r="R141" s="2">
        <v>1</v>
      </c>
      <c r="S141" s="9">
        <v>2000</v>
      </c>
      <c r="T141" s="10">
        <f t="shared" si="23"/>
        <v>1000</v>
      </c>
      <c r="U141" s="9"/>
      <c r="V141" s="10">
        <f t="shared" si="24"/>
        <v>1000</v>
      </c>
      <c r="W141" s="4" t="s">
        <v>122</v>
      </c>
      <c r="X141" s="2"/>
      <c r="Y141" s="11">
        <v>6</v>
      </c>
      <c r="Z141" s="12">
        <f t="shared" si="25"/>
        <v>9</v>
      </c>
      <c r="AA141" s="4" t="s">
        <v>212</v>
      </c>
      <c r="AC141" s="176">
        <f t="shared" si="30"/>
        <v>0</v>
      </c>
    </row>
    <row r="142" spans="1:29" customFormat="1">
      <c r="A142" s="181"/>
      <c r="B142" s="183">
        <f t="shared" si="26"/>
        <v>4</v>
      </c>
      <c r="C142" s="107" t="str">
        <f t="shared" si="27"/>
        <v>ATK</v>
      </c>
      <c r="D142" s="2" t="s">
        <v>522</v>
      </c>
      <c r="E142" s="3">
        <v>43850</v>
      </c>
      <c r="F142" s="3">
        <v>43850</v>
      </c>
      <c r="G142" s="108">
        <f t="shared" si="28"/>
        <v>1</v>
      </c>
      <c r="H142" s="108" t="str">
        <f t="shared" si="29"/>
        <v>완료</v>
      </c>
      <c r="I142" s="112" t="s">
        <v>218</v>
      </c>
      <c r="J142" s="4" t="s">
        <v>115</v>
      </c>
      <c r="K142" s="5" t="s">
        <v>138</v>
      </c>
      <c r="L142" s="6" t="str">
        <f t="shared" si="22"/>
        <v>EE1</v>
      </c>
      <c r="M142" s="13"/>
      <c r="N142" s="7" t="s">
        <v>3550</v>
      </c>
      <c r="O142" s="13" t="s">
        <v>284</v>
      </c>
      <c r="P142" s="115" t="s">
        <v>523</v>
      </c>
      <c r="Q142" s="8"/>
      <c r="R142" s="2">
        <v>1</v>
      </c>
      <c r="S142" s="9">
        <v>1500</v>
      </c>
      <c r="T142" s="10">
        <f t="shared" si="23"/>
        <v>750</v>
      </c>
      <c r="U142" s="9"/>
      <c r="V142" s="10">
        <f t="shared" si="24"/>
        <v>750</v>
      </c>
      <c r="W142" s="4" t="s">
        <v>122</v>
      </c>
      <c r="X142" s="2"/>
      <c r="Y142" s="11">
        <v>8</v>
      </c>
      <c r="Z142" s="12">
        <f t="shared" si="25"/>
        <v>0</v>
      </c>
      <c r="AA142" s="4" t="s">
        <v>259</v>
      </c>
      <c r="AC142" s="176">
        <f t="shared" si="30"/>
        <v>0</v>
      </c>
    </row>
    <row r="143" spans="1:29" customFormat="1">
      <c r="A143" s="181"/>
      <c r="B143" s="183">
        <f t="shared" si="26"/>
        <v>8</v>
      </c>
      <c r="C143" s="107" t="str">
        <f t="shared" si="27"/>
        <v>ATK</v>
      </c>
      <c r="D143" s="2" t="s">
        <v>504</v>
      </c>
      <c r="E143" s="3">
        <v>43850</v>
      </c>
      <c r="F143" s="3">
        <v>43878</v>
      </c>
      <c r="G143" s="108">
        <f t="shared" si="28"/>
        <v>2</v>
      </c>
      <c r="H143" s="108" t="str">
        <f t="shared" si="29"/>
        <v>완료</v>
      </c>
      <c r="I143" s="112" t="s">
        <v>514</v>
      </c>
      <c r="J143" s="4" t="s">
        <v>281</v>
      </c>
      <c r="K143" s="5" t="s">
        <v>332</v>
      </c>
      <c r="L143" s="6" t="str">
        <f t="shared" si="22"/>
        <v>EE2</v>
      </c>
      <c r="M143" s="13" t="s">
        <v>256</v>
      </c>
      <c r="N143" s="7" t="s">
        <v>3529</v>
      </c>
      <c r="O143" s="13" t="s">
        <v>524</v>
      </c>
      <c r="P143" s="115"/>
      <c r="Q143" s="8" t="s">
        <v>525</v>
      </c>
      <c r="R143" s="2">
        <v>1</v>
      </c>
      <c r="S143" s="9">
        <v>1900</v>
      </c>
      <c r="T143" s="10">
        <f t="shared" si="23"/>
        <v>950</v>
      </c>
      <c r="U143" s="9">
        <v>665</v>
      </c>
      <c r="V143" s="10">
        <f t="shared" si="24"/>
        <v>285</v>
      </c>
      <c r="W143" s="4" t="s">
        <v>326</v>
      </c>
      <c r="X143" s="2" t="s">
        <v>29</v>
      </c>
      <c r="Y143" s="11">
        <v>1</v>
      </c>
      <c r="Z143" s="12">
        <f t="shared" si="25"/>
        <v>28</v>
      </c>
      <c r="AA143" s="4" t="s">
        <v>30</v>
      </c>
      <c r="AC143" s="176">
        <f t="shared" si="30"/>
        <v>0.6045454545454545</v>
      </c>
    </row>
    <row r="144" spans="1:29" customFormat="1">
      <c r="A144" s="181"/>
      <c r="B144" s="183">
        <f t="shared" si="26"/>
        <v>8</v>
      </c>
      <c r="C144" s="107" t="str">
        <f t="shared" si="27"/>
        <v>ATK</v>
      </c>
      <c r="D144" s="2" t="s">
        <v>504</v>
      </c>
      <c r="E144" s="3">
        <v>43850</v>
      </c>
      <c r="F144" s="3">
        <v>43878</v>
      </c>
      <c r="G144" s="108">
        <f t="shared" si="28"/>
        <v>2</v>
      </c>
      <c r="H144" s="108" t="str">
        <f t="shared" si="29"/>
        <v>완료</v>
      </c>
      <c r="I144" s="112" t="s">
        <v>514</v>
      </c>
      <c r="J144" s="4" t="s">
        <v>281</v>
      </c>
      <c r="K144" s="5" t="s">
        <v>332</v>
      </c>
      <c r="L144" s="6" t="str">
        <f t="shared" si="22"/>
        <v>EE2</v>
      </c>
      <c r="M144" s="13" t="s">
        <v>256</v>
      </c>
      <c r="N144" s="7" t="s">
        <v>3529</v>
      </c>
      <c r="O144" s="13" t="s">
        <v>524</v>
      </c>
      <c r="P144" s="115"/>
      <c r="Q144" s="8" t="s">
        <v>526</v>
      </c>
      <c r="R144" s="2">
        <v>1</v>
      </c>
      <c r="S144" s="9">
        <v>1900</v>
      </c>
      <c r="T144" s="10">
        <f t="shared" si="23"/>
        <v>950</v>
      </c>
      <c r="U144" s="9">
        <v>665</v>
      </c>
      <c r="V144" s="10">
        <f t="shared" si="24"/>
        <v>285</v>
      </c>
      <c r="W144" s="4" t="s">
        <v>326</v>
      </c>
      <c r="X144" s="2" t="s">
        <v>29</v>
      </c>
      <c r="Y144" s="11">
        <v>1</v>
      </c>
      <c r="Z144" s="12">
        <f t="shared" si="25"/>
        <v>28</v>
      </c>
      <c r="AA144" s="4" t="s">
        <v>30</v>
      </c>
      <c r="AC144" s="176">
        <f t="shared" si="30"/>
        <v>0.6045454545454545</v>
      </c>
    </row>
    <row r="145" spans="1:29" customFormat="1">
      <c r="A145" s="181"/>
      <c r="B145" s="183">
        <f t="shared" si="26"/>
        <v>8</v>
      </c>
      <c r="C145" s="107" t="str">
        <f t="shared" si="27"/>
        <v>ATK</v>
      </c>
      <c r="D145" s="2" t="s">
        <v>504</v>
      </c>
      <c r="E145" s="3">
        <v>43850</v>
      </c>
      <c r="F145" s="3">
        <v>43878</v>
      </c>
      <c r="G145" s="108">
        <f t="shared" si="28"/>
        <v>2</v>
      </c>
      <c r="H145" s="108" t="str">
        <f t="shared" si="29"/>
        <v>완료</v>
      </c>
      <c r="I145" s="112" t="s">
        <v>514</v>
      </c>
      <c r="J145" s="4" t="s">
        <v>281</v>
      </c>
      <c r="K145" s="5" t="s">
        <v>332</v>
      </c>
      <c r="L145" s="6" t="str">
        <f t="shared" si="22"/>
        <v>EE2</v>
      </c>
      <c r="M145" s="13" t="s">
        <v>256</v>
      </c>
      <c r="N145" s="7" t="s">
        <v>3529</v>
      </c>
      <c r="O145" s="13" t="s">
        <v>524</v>
      </c>
      <c r="P145" s="115"/>
      <c r="Q145" s="8" t="s">
        <v>527</v>
      </c>
      <c r="R145" s="2">
        <v>1</v>
      </c>
      <c r="S145" s="9">
        <v>1900</v>
      </c>
      <c r="T145" s="10">
        <f t="shared" si="23"/>
        <v>950</v>
      </c>
      <c r="U145" s="9">
        <v>665</v>
      </c>
      <c r="V145" s="10">
        <f t="shared" si="24"/>
        <v>285</v>
      </c>
      <c r="W145" s="4" t="s">
        <v>326</v>
      </c>
      <c r="X145" s="2" t="s">
        <v>29</v>
      </c>
      <c r="Y145" s="11">
        <v>1</v>
      </c>
      <c r="Z145" s="12">
        <f t="shared" si="25"/>
        <v>28</v>
      </c>
      <c r="AA145" s="4" t="s">
        <v>30</v>
      </c>
      <c r="AC145" s="176">
        <f t="shared" si="30"/>
        <v>0.6045454545454545</v>
      </c>
    </row>
    <row r="146" spans="1:29" customFormat="1">
      <c r="A146" s="181"/>
      <c r="B146" s="183">
        <f t="shared" si="26"/>
        <v>8</v>
      </c>
      <c r="C146" s="107" t="str">
        <f t="shared" si="27"/>
        <v>ATK</v>
      </c>
      <c r="D146" s="2" t="s">
        <v>504</v>
      </c>
      <c r="E146" s="3">
        <v>43850</v>
      </c>
      <c r="F146" s="3">
        <v>43878</v>
      </c>
      <c r="G146" s="108">
        <f t="shared" si="28"/>
        <v>2</v>
      </c>
      <c r="H146" s="108" t="str">
        <f t="shared" si="29"/>
        <v>완료</v>
      </c>
      <c r="I146" s="112" t="s">
        <v>514</v>
      </c>
      <c r="J146" s="4" t="s">
        <v>281</v>
      </c>
      <c r="K146" s="5" t="s">
        <v>332</v>
      </c>
      <c r="L146" s="6" t="str">
        <f t="shared" si="22"/>
        <v>EE2</v>
      </c>
      <c r="M146" s="13" t="s">
        <v>256</v>
      </c>
      <c r="N146" s="7" t="s">
        <v>3529</v>
      </c>
      <c r="O146" s="13" t="s">
        <v>524</v>
      </c>
      <c r="P146" s="115"/>
      <c r="Q146" s="8" t="s">
        <v>528</v>
      </c>
      <c r="R146" s="2">
        <v>1</v>
      </c>
      <c r="S146" s="9">
        <v>1900</v>
      </c>
      <c r="T146" s="10">
        <f t="shared" si="23"/>
        <v>950</v>
      </c>
      <c r="U146" s="9">
        <v>665</v>
      </c>
      <c r="V146" s="10">
        <f t="shared" si="24"/>
        <v>285</v>
      </c>
      <c r="W146" s="4" t="s">
        <v>326</v>
      </c>
      <c r="X146" s="2" t="s">
        <v>29</v>
      </c>
      <c r="Y146" s="11">
        <v>1</v>
      </c>
      <c r="Z146" s="12">
        <f t="shared" si="25"/>
        <v>28</v>
      </c>
      <c r="AA146" s="4" t="s">
        <v>30</v>
      </c>
      <c r="AC146" s="176">
        <f t="shared" si="30"/>
        <v>0.6045454545454545</v>
      </c>
    </row>
    <row r="147" spans="1:29" customFormat="1">
      <c r="A147" s="181"/>
      <c r="B147" s="183">
        <f t="shared" si="26"/>
        <v>8</v>
      </c>
      <c r="C147" s="107" t="str">
        <f t="shared" si="27"/>
        <v>ATK</v>
      </c>
      <c r="D147" s="2" t="s">
        <v>504</v>
      </c>
      <c r="E147" s="3">
        <v>43850</v>
      </c>
      <c r="F147" s="3">
        <v>43878</v>
      </c>
      <c r="G147" s="108">
        <f t="shared" si="28"/>
        <v>2</v>
      </c>
      <c r="H147" s="108" t="str">
        <f t="shared" si="29"/>
        <v>완료</v>
      </c>
      <c r="I147" s="112" t="s">
        <v>514</v>
      </c>
      <c r="J147" s="4" t="s">
        <v>281</v>
      </c>
      <c r="K147" s="5" t="s">
        <v>332</v>
      </c>
      <c r="L147" s="6" t="str">
        <f t="shared" si="22"/>
        <v>EE2</v>
      </c>
      <c r="M147" s="13" t="s">
        <v>256</v>
      </c>
      <c r="N147" s="7" t="s">
        <v>3551</v>
      </c>
      <c r="O147" s="13" t="s">
        <v>524</v>
      </c>
      <c r="P147" s="115"/>
      <c r="Q147" s="8" t="s">
        <v>529</v>
      </c>
      <c r="R147" s="2">
        <v>1</v>
      </c>
      <c r="S147" s="9">
        <v>1900</v>
      </c>
      <c r="T147" s="10">
        <f t="shared" si="23"/>
        <v>950</v>
      </c>
      <c r="U147" s="9">
        <v>665</v>
      </c>
      <c r="V147" s="10">
        <f t="shared" si="24"/>
        <v>285</v>
      </c>
      <c r="W147" s="4" t="s">
        <v>326</v>
      </c>
      <c r="X147" s="2" t="s">
        <v>29</v>
      </c>
      <c r="Y147" s="11">
        <v>1</v>
      </c>
      <c r="Z147" s="12">
        <f t="shared" si="25"/>
        <v>28</v>
      </c>
      <c r="AA147" s="4" t="s">
        <v>30</v>
      </c>
      <c r="AC147" s="176">
        <f t="shared" si="30"/>
        <v>0.6045454545454545</v>
      </c>
    </row>
    <row r="148" spans="1:29" customFormat="1">
      <c r="A148" s="181"/>
      <c r="B148" s="183">
        <f t="shared" si="26"/>
        <v>8</v>
      </c>
      <c r="C148" s="107" t="str">
        <f t="shared" si="27"/>
        <v>ATK</v>
      </c>
      <c r="D148" s="2" t="s">
        <v>504</v>
      </c>
      <c r="E148" s="3">
        <v>43850</v>
      </c>
      <c r="F148" s="3">
        <v>43878</v>
      </c>
      <c r="G148" s="108">
        <f t="shared" si="28"/>
        <v>2</v>
      </c>
      <c r="H148" s="108" t="str">
        <f t="shared" si="29"/>
        <v>완료</v>
      </c>
      <c r="I148" s="112" t="s">
        <v>514</v>
      </c>
      <c r="J148" s="4" t="s">
        <v>281</v>
      </c>
      <c r="K148" s="5" t="s">
        <v>332</v>
      </c>
      <c r="L148" s="6" t="str">
        <f t="shared" si="22"/>
        <v>EE2</v>
      </c>
      <c r="M148" s="13" t="s">
        <v>256</v>
      </c>
      <c r="N148" s="7" t="s">
        <v>3551</v>
      </c>
      <c r="O148" s="13" t="s">
        <v>524</v>
      </c>
      <c r="P148" s="115"/>
      <c r="Q148" s="8" t="s">
        <v>530</v>
      </c>
      <c r="R148" s="2">
        <v>1</v>
      </c>
      <c r="S148" s="9">
        <v>1900</v>
      </c>
      <c r="T148" s="10">
        <f t="shared" si="23"/>
        <v>950</v>
      </c>
      <c r="U148" s="9">
        <v>665</v>
      </c>
      <c r="V148" s="10">
        <f t="shared" si="24"/>
        <v>285</v>
      </c>
      <c r="W148" s="4" t="s">
        <v>326</v>
      </c>
      <c r="X148" s="2" t="s">
        <v>29</v>
      </c>
      <c r="Y148" s="11">
        <v>1</v>
      </c>
      <c r="Z148" s="12">
        <f t="shared" si="25"/>
        <v>28</v>
      </c>
      <c r="AA148" s="4" t="s">
        <v>30</v>
      </c>
      <c r="AC148" s="176">
        <f t="shared" si="30"/>
        <v>0.6045454545454545</v>
      </c>
    </row>
    <row r="149" spans="1:29" customFormat="1">
      <c r="A149" s="181"/>
      <c r="B149" s="183">
        <f t="shared" si="26"/>
        <v>8</v>
      </c>
      <c r="C149" s="107" t="str">
        <f t="shared" si="27"/>
        <v>ATK</v>
      </c>
      <c r="D149" s="2" t="s">
        <v>504</v>
      </c>
      <c r="E149" s="3">
        <v>43850</v>
      </c>
      <c r="F149" s="3">
        <v>43878</v>
      </c>
      <c r="G149" s="108">
        <f t="shared" si="28"/>
        <v>2</v>
      </c>
      <c r="H149" s="108" t="str">
        <f t="shared" si="29"/>
        <v>완료</v>
      </c>
      <c r="I149" s="112" t="s">
        <v>514</v>
      </c>
      <c r="J149" s="4" t="s">
        <v>281</v>
      </c>
      <c r="K149" s="5" t="s">
        <v>332</v>
      </c>
      <c r="L149" s="6" t="str">
        <f t="shared" si="22"/>
        <v>EE2</v>
      </c>
      <c r="M149" s="13" t="s">
        <v>256</v>
      </c>
      <c r="N149" s="7" t="s">
        <v>3551</v>
      </c>
      <c r="O149" s="13" t="s">
        <v>524</v>
      </c>
      <c r="P149" s="115"/>
      <c r="Q149" s="8" t="s">
        <v>531</v>
      </c>
      <c r="R149" s="2">
        <v>1</v>
      </c>
      <c r="S149" s="9">
        <v>1900</v>
      </c>
      <c r="T149" s="10">
        <f t="shared" si="23"/>
        <v>950</v>
      </c>
      <c r="U149" s="9">
        <v>665</v>
      </c>
      <c r="V149" s="10">
        <f t="shared" si="24"/>
        <v>285</v>
      </c>
      <c r="W149" s="4" t="s">
        <v>326</v>
      </c>
      <c r="X149" s="2" t="s">
        <v>29</v>
      </c>
      <c r="Y149" s="11">
        <v>1</v>
      </c>
      <c r="Z149" s="12">
        <f t="shared" si="25"/>
        <v>28</v>
      </c>
      <c r="AA149" s="4" t="s">
        <v>30</v>
      </c>
      <c r="AC149" s="176">
        <f t="shared" si="30"/>
        <v>0.6045454545454545</v>
      </c>
    </row>
    <row r="150" spans="1:29" customFormat="1">
      <c r="A150" s="181"/>
      <c r="B150" s="183">
        <f t="shared" si="26"/>
        <v>8</v>
      </c>
      <c r="C150" s="107" t="str">
        <f t="shared" si="27"/>
        <v>ATK</v>
      </c>
      <c r="D150" s="2" t="s">
        <v>504</v>
      </c>
      <c r="E150" s="3">
        <v>43850</v>
      </c>
      <c r="F150" s="3">
        <v>43878</v>
      </c>
      <c r="G150" s="108">
        <f t="shared" si="28"/>
        <v>2</v>
      </c>
      <c r="H150" s="108" t="str">
        <f t="shared" si="29"/>
        <v>완료</v>
      </c>
      <c r="I150" s="112" t="s">
        <v>514</v>
      </c>
      <c r="J150" s="4" t="s">
        <v>281</v>
      </c>
      <c r="K150" s="5" t="s">
        <v>332</v>
      </c>
      <c r="L150" s="6" t="str">
        <f t="shared" si="22"/>
        <v>EE2</v>
      </c>
      <c r="M150" s="13" t="s">
        <v>256</v>
      </c>
      <c r="N150" s="7" t="s">
        <v>3551</v>
      </c>
      <c r="O150" s="13" t="s">
        <v>524</v>
      </c>
      <c r="P150" s="115"/>
      <c r="Q150" s="8" t="s">
        <v>532</v>
      </c>
      <c r="R150" s="2">
        <v>1</v>
      </c>
      <c r="S150" s="9">
        <v>1900</v>
      </c>
      <c r="T150" s="10">
        <f t="shared" si="23"/>
        <v>950</v>
      </c>
      <c r="U150" s="9">
        <v>665</v>
      </c>
      <c r="V150" s="10">
        <f t="shared" si="24"/>
        <v>285</v>
      </c>
      <c r="W150" s="4" t="s">
        <v>326</v>
      </c>
      <c r="X150" s="2" t="s">
        <v>29</v>
      </c>
      <c r="Y150" s="11">
        <v>1</v>
      </c>
      <c r="Z150" s="12">
        <f t="shared" si="25"/>
        <v>28</v>
      </c>
      <c r="AA150" s="4" t="s">
        <v>30</v>
      </c>
      <c r="AC150" s="176">
        <f t="shared" si="30"/>
        <v>0.6045454545454545</v>
      </c>
    </row>
    <row r="151" spans="1:29" customFormat="1">
      <c r="A151" s="181"/>
      <c r="B151" s="183">
        <f t="shared" si="26"/>
        <v>4</v>
      </c>
      <c r="C151" s="107" t="str">
        <f t="shared" si="27"/>
        <v>ATK</v>
      </c>
      <c r="D151" s="2" t="s">
        <v>223</v>
      </c>
      <c r="E151" s="3">
        <v>43850</v>
      </c>
      <c r="F151" s="3">
        <v>43850</v>
      </c>
      <c r="G151" s="108">
        <f t="shared" si="28"/>
        <v>1</v>
      </c>
      <c r="H151" s="108" t="str">
        <f t="shared" si="29"/>
        <v>완료</v>
      </c>
      <c r="I151" s="112" t="s">
        <v>218</v>
      </c>
      <c r="J151" s="4" t="s">
        <v>121</v>
      </c>
      <c r="K151" s="5" t="s">
        <v>229</v>
      </c>
      <c r="L151" s="6" t="str">
        <f t="shared" si="22"/>
        <v>5T2</v>
      </c>
      <c r="M151" s="13" t="s">
        <v>533</v>
      </c>
      <c r="N151" s="7" t="s">
        <v>3552</v>
      </c>
      <c r="O151" s="13" t="s">
        <v>315</v>
      </c>
      <c r="P151" s="115" t="s">
        <v>534</v>
      </c>
      <c r="Q151" s="8" t="s">
        <v>535</v>
      </c>
      <c r="R151" s="2">
        <v>2</v>
      </c>
      <c r="S151" s="9">
        <v>15000</v>
      </c>
      <c r="T151" s="10">
        <f t="shared" si="23"/>
        <v>15000</v>
      </c>
      <c r="U151" s="9">
        <v>0</v>
      </c>
      <c r="V151" s="10">
        <f t="shared" si="24"/>
        <v>15000</v>
      </c>
      <c r="W151" s="4" t="s">
        <v>122</v>
      </c>
      <c r="X151" s="2"/>
      <c r="Y151" s="11">
        <v>3</v>
      </c>
      <c r="Z151" s="12">
        <f t="shared" si="25"/>
        <v>0</v>
      </c>
      <c r="AA151" s="4" t="s">
        <v>120</v>
      </c>
      <c r="AC151" s="176">
        <f t="shared" si="30"/>
        <v>0</v>
      </c>
    </row>
    <row r="152" spans="1:29" customFormat="1">
      <c r="A152" s="181"/>
      <c r="B152" s="183">
        <f t="shared" si="26"/>
        <v>4</v>
      </c>
      <c r="C152" s="107" t="str">
        <f t="shared" si="27"/>
        <v>ATK</v>
      </c>
      <c r="D152" s="2" t="s">
        <v>536</v>
      </c>
      <c r="E152" s="3">
        <v>43850</v>
      </c>
      <c r="F152" s="3">
        <v>43850</v>
      </c>
      <c r="G152" s="108">
        <f t="shared" si="28"/>
        <v>1</v>
      </c>
      <c r="H152" s="108" t="str">
        <f t="shared" si="29"/>
        <v>완료</v>
      </c>
      <c r="I152" s="112" t="s">
        <v>218</v>
      </c>
      <c r="J152" s="4" t="s">
        <v>115</v>
      </c>
      <c r="K152" s="5" t="s">
        <v>138</v>
      </c>
      <c r="L152" s="6" t="str">
        <f t="shared" si="22"/>
        <v>EE1</v>
      </c>
      <c r="M152" s="13" t="s">
        <v>539</v>
      </c>
      <c r="N152" s="7" t="s">
        <v>3553</v>
      </c>
      <c r="O152" s="13" t="s">
        <v>537</v>
      </c>
      <c r="P152" s="115" t="s">
        <v>538</v>
      </c>
      <c r="Q152" s="8"/>
      <c r="R152" s="2">
        <v>2</v>
      </c>
      <c r="S152" s="9">
        <v>1500</v>
      </c>
      <c r="T152" s="10">
        <f t="shared" si="23"/>
        <v>1500</v>
      </c>
      <c r="U152" s="9">
        <v>20</v>
      </c>
      <c r="V152" s="10">
        <f t="shared" si="24"/>
        <v>1480</v>
      </c>
      <c r="W152" s="4" t="s">
        <v>122</v>
      </c>
      <c r="X152" s="2"/>
      <c r="Y152" s="11">
        <v>4</v>
      </c>
      <c r="Z152" s="12">
        <f t="shared" si="25"/>
        <v>0</v>
      </c>
      <c r="AA152" s="4" t="s">
        <v>212</v>
      </c>
      <c r="AC152" s="176">
        <f t="shared" si="30"/>
        <v>1.8181818181818181E-2</v>
      </c>
    </row>
    <row r="153" spans="1:29" customFormat="1">
      <c r="A153" s="181"/>
      <c r="B153" s="183">
        <f t="shared" si="26"/>
        <v>4</v>
      </c>
      <c r="C153" s="107" t="str">
        <f t="shared" si="27"/>
        <v>ATK</v>
      </c>
      <c r="D153" s="2" t="s">
        <v>541</v>
      </c>
      <c r="E153" s="3">
        <v>43850</v>
      </c>
      <c r="F153" s="3">
        <v>43850</v>
      </c>
      <c r="G153" s="108">
        <f t="shared" si="28"/>
        <v>1</v>
      </c>
      <c r="H153" s="108" t="str">
        <f t="shared" si="29"/>
        <v>완료</v>
      </c>
      <c r="I153" s="112" t="s">
        <v>218</v>
      </c>
      <c r="J153" s="4" t="s">
        <v>132</v>
      </c>
      <c r="K153" s="5" t="s">
        <v>322</v>
      </c>
      <c r="L153" s="6" t="str">
        <f t="shared" si="22"/>
        <v>3T1</v>
      </c>
      <c r="M153" s="13" t="s">
        <v>542</v>
      </c>
      <c r="N153" s="13" t="s">
        <v>3554</v>
      </c>
      <c r="O153" s="7" t="s">
        <v>543</v>
      </c>
      <c r="P153" s="115" t="s">
        <v>544</v>
      </c>
      <c r="Q153" s="8"/>
      <c r="R153" s="2">
        <v>1</v>
      </c>
      <c r="S153" s="9">
        <v>70</v>
      </c>
      <c r="T153" s="10">
        <f t="shared" si="23"/>
        <v>35</v>
      </c>
      <c r="U153" s="9">
        <v>1</v>
      </c>
      <c r="V153" s="10">
        <f t="shared" si="24"/>
        <v>34</v>
      </c>
      <c r="W153" s="4" t="s">
        <v>122</v>
      </c>
      <c r="X153" s="2"/>
      <c r="Y153" s="11">
        <v>2</v>
      </c>
      <c r="Z153" s="12">
        <f t="shared" si="25"/>
        <v>0</v>
      </c>
      <c r="AA153" s="4" t="s">
        <v>120</v>
      </c>
      <c r="AC153" s="176">
        <f t="shared" si="30"/>
        <v>9.0909090909090909E-4</v>
      </c>
    </row>
    <row r="154" spans="1:29" customFormat="1">
      <c r="A154" s="181"/>
      <c r="B154" s="183">
        <f t="shared" si="26"/>
        <v>4</v>
      </c>
      <c r="C154" s="107" t="str">
        <f t="shared" si="27"/>
        <v>ATK</v>
      </c>
      <c r="D154" s="2" t="s">
        <v>545</v>
      </c>
      <c r="E154" s="3">
        <v>43851</v>
      </c>
      <c r="F154" s="3">
        <v>43851</v>
      </c>
      <c r="G154" s="108">
        <f t="shared" si="28"/>
        <v>1</v>
      </c>
      <c r="H154" s="108" t="str">
        <f t="shared" si="29"/>
        <v>완료</v>
      </c>
      <c r="I154" s="112" t="s">
        <v>546</v>
      </c>
      <c r="J154" s="4" t="s">
        <v>547</v>
      </c>
      <c r="K154" s="5" t="s">
        <v>548</v>
      </c>
      <c r="L154" s="6" t="str">
        <f t="shared" si="22"/>
        <v>6T2</v>
      </c>
      <c r="M154" s="13" t="s">
        <v>549</v>
      </c>
      <c r="N154" s="7" t="s">
        <v>3555</v>
      </c>
      <c r="O154" s="13" t="s">
        <v>550</v>
      </c>
      <c r="P154" s="115" t="s">
        <v>551</v>
      </c>
      <c r="Q154" s="8"/>
      <c r="R154" s="2">
        <v>1</v>
      </c>
      <c r="S154" s="9">
        <v>800</v>
      </c>
      <c r="T154" s="10">
        <f t="shared" si="23"/>
        <v>400</v>
      </c>
      <c r="U154" s="9">
        <v>5</v>
      </c>
      <c r="V154" s="10">
        <f t="shared" si="24"/>
        <v>395</v>
      </c>
      <c r="W154" s="4" t="s">
        <v>552</v>
      </c>
      <c r="X154" s="2"/>
      <c r="Y154" s="11">
        <v>2</v>
      </c>
      <c r="Z154" s="12">
        <f t="shared" si="25"/>
        <v>0</v>
      </c>
      <c r="AA154" s="4" t="s">
        <v>553</v>
      </c>
      <c r="AC154" s="176">
        <f t="shared" si="30"/>
        <v>4.5454545454545452E-3</v>
      </c>
    </row>
    <row r="155" spans="1:29" customFormat="1">
      <c r="A155" s="181"/>
      <c r="B155" s="183">
        <f t="shared" si="26"/>
        <v>4</v>
      </c>
      <c r="C155" s="107" t="str">
        <f t="shared" si="27"/>
        <v>ATK</v>
      </c>
      <c r="D155" s="2" t="s">
        <v>382</v>
      </c>
      <c r="E155" s="3">
        <v>43851</v>
      </c>
      <c r="F155" s="3">
        <v>43851</v>
      </c>
      <c r="G155" s="108">
        <f t="shared" si="28"/>
        <v>1</v>
      </c>
      <c r="H155" s="108" t="str">
        <f t="shared" si="29"/>
        <v>완료</v>
      </c>
      <c r="I155" s="112" t="s">
        <v>264</v>
      </c>
      <c r="J155" s="4" t="s">
        <v>547</v>
      </c>
      <c r="K155" s="5" t="s">
        <v>548</v>
      </c>
      <c r="L155" s="6" t="str">
        <f t="shared" si="22"/>
        <v>6T2</v>
      </c>
      <c r="M155" s="13" t="s">
        <v>213</v>
      </c>
      <c r="N155" s="7" t="s">
        <v>3505</v>
      </c>
      <c r="O155" s="13" t="s">
        <v>464</v>
      </c>
      <c r="P155" s="115" t="s">
        <v>557</v>
      </c>
      <c r="Q155" s="8"/>
      <c r="R155" s="2">
        <v>1</v>
      </c>
      <c r="S155" s="9">
        <v>1000</v>
      </c>
      <c r="T155" s="10">
        <f t="shared" si="23"/>
        <v>500</v>
      </c>
      <c r="U155" s="9"/>
      <c r="V155" s="10">
        <f t="shared" si="24"/>
        <v>500</v>
      </c>
      <c r="W155" s="4" t="s">
        <v>122</v>
      </c>
      <c r="X155" s="2"/>
      <c r="Y155" s="11">
        <v>4</v>
      </c>
      <c r="Z155" s="12">
        <f t="shared" si="25"/>
        <v>0</v>
      </c>
      <c r="AA155" s="4" t="s">
        <v>212</v>
      </c>
      <c r="AC155" s="176">
        <f t="shared" si="30"/>
        <v>0</v>
      </c>
    </row>
    <row r="156" spans="1:29" customFormat="1">
      <c r="A156" s="181"/>
      <c r="B156" s="183">
        <f t="shared" si="26"/>
        <v>4</v>
      </c>
      <c r="C156" s="107" t="str">
        <f t="shared" si="27"/>
        <v>ATK</v>
      </c>
      <c r="D156" s="2" t="s">
        <v>558</v>
      </c>
      <c r="E156" s="3">
        <v>43851</v>
      </c>
      <c r="F156" s="3">
        <v>43851</v>
      </c>
      <c r="G156" s="108">
        <f t="shared" si="28"/>
        <v>1</v>
      </c>
      <c r="H156" s="108" t="str">
        <f t="shared" si="29"/>
        <v>완료</v>
      </c>
      <c r="I156" s="112" t="s">
        <v>218</v>
      </c>
      <c r="J156" s="4" t="s">
        <v>118</v>
      </c>
      <c r="K156" s="5" t="s">
        <v>137</v>
      </c>
      <c r="L156" s="6" t="str">
        <f t="shared" si="22"/>
        <v>2T2</v>
      </c>
      <c r="M156" s="13" t="s">
        <v>226</v>
      </c>
      <c r="N156" s="7" t="s">
        <v>3556</v>
      </c>
      <c r="O156" s="13" t="s">
        <v>559</v>
      </c>
      <c r="P156" s="115"/>
      <c r="Q156" s="8"/>
      <c r="R156" s="2">
        <v>1</v>
      </c>
      <c r="S156" s="9">
        <v>2500</v>
      </c>
      <c r="T156" s="10">
        <f t="shared" si="23"/>
        <v>1250</v>
      </c>
      <c r="U156" s="9">
        <v>100</v>
      </c>
      <c r="V156" s="10">
        <f t="shared" si="24"/>
        <v>1150</v>
      </c>
      <c r="W156" s="4" t="s">
        <v>122</v>
      </c>
      <c r="X156" s="2"/>
      <c r="Y156" s="11">
        <v>4</v>
      </c>
      <c r="Z156" s="12">
        <f t="shared" si="25"/>
        <v>0</v>
      </c>
      <c r="AA156" s="4" t="s">
        <v>259</v>
      </c>
      <c r="AC156" s="176">
        <f t="shared" si="30"/>
        <v>9.0909090909090912E-2</v>
      </c>
    </row>
    <row r="157" spans="1:29" customFormat="1">
      <c r="A157" s="181"/>
      <c r="B157" s="183">
        <f t="shared" si="26"/>
        <v>4</v>
      </c>
      <c r="C157" s="107" t="str">
        <f t="shared" si="27"/>
        <v>ATK</v>
      </c>
      <c r="D157" s="2" t="s">
        <v>560</v>
      </c>
      <c r="E157" s="3">
        <v>43851</v>
      </c>
      <c r="F157" s="3">
        <v>43851</v>
      </c>
      <c r="G157" s="108">
        <f t="shared" si="28"/>
        <v>1</v>
      </c>
      <c r="H157" s="108" t="str">
        <f t="shared" si="29"/>
        <v>완료</v>
      </c>
      <c r="I157" s="112" t="s">
        <v>218</v>
      </c>
      <c r="J157" s="4" t="s">
        <v>121</v>
      </c>
      <c r="K157" s="5" t="s">
        <v>229</v>
      </c>
      <c r="L157" s="6" t="str">
        <f t="shared" si="22"/>
        <v>5T2</v>
      </c>
      <c r="M157" s="13" t="s">
        <v>226</v>
      </c>
      <c r="N157" s="7" t="s">
        <v>3557</v>
      </c>
      <c r="O157" s="13" t="s">
        <v>561</v>
      </c>
      <c r="P157" s="115"/>
      <c r="Q157" s="8"/>
      <c r="R157" s="2">
        <v>1</v>
      </c>
      <c r="S157" s="9">
        <v>1000</v>
      </c>
      <c r="T157" s="10">
        <f t="shared" si="23"/>
        <v>500</v>
      </c>
      <c r="U157" s="9">
        <v>50</v>
      </c>
      <c r="V157" s="10">
        <f t="shared" si="24"/>
        <v>450</v>
      </c>
      <c r="W157" s="4" t="s">
        <v>122</v>
      </c>
      <c r="X157" s="2"/>
      <c r="Y157" s="11">
        <v>4</v>
      </c>
      <c r="Z157" s="12">
        <f t="shared" si="25"/>
        <v>0</v>
      </c>
      <c r="AA157" s="4" t="s">
        <v>259</v>
      </c>
      <c r="AC157" s="176">
        <f t="shared" si="30"/>
        <v>4.5454545454545456E-2</v>
      </c>
    </row>
    <row r="158" spans="1:29" customFormat="1">
      <c r="A158" s="181"/>
      <c r="B158" s="183">
        <f t="shared" si="26"/>
        <v>9</v>
      </c>
      <c r="C158" s="107" t="str">
        <f t="shared" si="27"/>
        <v>ATK</v>
      </c>
      <c r="D158" s="2" t="s">
        <v>562</v>
      </c>
      <c r="E158" s="3">
        <v>43851</v>
      </c>
      <c r="F158" s="3">
        <v>43885</v>
      </c>
      <c r="G158" s="108">
        <f t="shared" si="28"/>
        <v>2</v>
      </c>
      <c r="H158" s="108" t="str">
        <f t="shared" si="29"/>
        <v>완료</v>
      </c>
      <c r="I158" s="112" t="s">
        <v>218</v>
      </c>
      <c r="J158" s="4" t="s">
        <v>563</v>
      </c>
      <c r="K158" s="5" t="s">
        <v>548</v>
      </c>
      <c r="L158" s="6" t="str">
        <f t="shared" si="22"/>
        <v>6T2</v>
      </c>
      <c r="M158" s="13" t="s">
        <v>564</v>
      </c>
      <c r="N158" s="7" t="s">
        <v>148</v>
      </c>
      <c r="O158" s="13" t="s">
        <v>566</v>
      </c>
      <c r="P158" s="115" t="s">
        <v>567</v>
      </c>
      <c r="Q158" s="8"/>
      <c r="R158" s="2">
        <v>1</v>
      </c>
      <c r="S158" s="9">
        <v>2500</v>
      </c>
      <c r="T158" s="10">
        <f t="shared" si="23"/>
        <v>1250</v>
      </c>
      <c r="U158" s="9">
        <v>20</v>
      </c>
      <c r="V158" s="10">
        <f t="shared" si="24"/>
        <v>1230</v>
      </c>
      <c r="W158" s="4" t="s">
        <v>249</v>
      </c>
      <c r="X158" s="2"/>
      <c r="Y158" s="11">
        <v>1</v>
      </c>
      <c r="Z158" s="12">
        <f t="shared" si="25"/>
        <v>34</v>
      </c>
      <c r="AA158" s="4" t="s">
        <v>175</v>
      </c>
      <c r="AC158" s="176">
        <f t="shared" si="30"/>
        <v>1.8181818181818181E-2</v>
      </c>
    </row>
    <row r="159" spans="1:29" customFormat="1">
      <c r="A159" s="181"/>
      <c r="B159" s="183">
        <f t="shared" si="26"/>
        <v>6</v>
      </c>
      <c r="C159" s="107" t="str">
        <f t="shared" si="27"/>
        <v>ATK</v>
      </c>
      <c r="D159" s="2" t="s">
        <v>568</v>
      </c>
      <c r="E159" s="3">
        <v>43851</v>
      </c>
      <c r="F159" s="3">
        <v>43868</v>
      </c>
      <c r="G159" s="108">
        <f t="shared" si="28"/>
        <v>2</v>
      </c>
      <c r="H159" s="108" t="str">
        <f t="shared" si="29"/>
        <v>완료</v>
      </c>
      <c r="I159" s="112" t="s">
        <v>514</v>
      </c>
      <c r="J159" s="4" t="s">
        <v>569</v>
      </c>
      <c r="K159" s="5" t="s">
        <v>570</v>
      </c>
      <c r="L159" s="6" t="str">
        <f t="shared" si="22"/>
        <v>EE1</v>
      </c>
      <c r="M159" s="13" t="s">
        <v>539</v>
      </c>
      <c r="N159" s="7" t="s">
        <v>3558</v>
      </c>
      <c r="O159" s="7" t="s">
        <v>571</v>
      </c>
      <c r="P159" s="115" t="s">
        <v>572</v>
      </c>
      <c r="Q159" s="8" t="s">
        <v>579</v>
      </c>
      <c r="R159" s="2">
        <v>1</v>
      </c>
      <c r="S159" s="9">
        <v>500</v>
      </c>
      <c r="T159" s="10">
        <f t="shared" si="23"/>
        <v>250</v>
      </c>
      <c r="U159" s="9">
        <v>0</v>
      </c>
      <c r="V159" s="10">
        <f t="shared" si="24"/>
        <v>250</v>
      </c>
      <c r="W159" s="4" t="s">
        <v>573</v>
      </c>
      <c r="X159" s="2" t="s">
        <v>574</v>
      </c>
      <c r="Y159" s="11">
        <v>1</v>
      </c>
      <c r="Z159" s="12">
        <f t="shared" si="25"/>
        <v>17</v>
      </c>
      <c r="AA159" s="4" t="s">
        <v>575</v>
      </c>
      <c r="AC159" s="176">
        <f t="shared" si="30"/>
        <v>0</v>
      </c>
    </row>
    <row r="160" spans="1:29" customFormat="1">
      <c r="A160" s="181"/>
      <c r="B160" s="183">
        <f t="shared" si="26"/>
        <v>6</v>
      </c>
      <c r="C160" s="107" t="str">
        <f t="shared" si="27"/>
        <v>ATK</v>
      </c>
      <c r="D160" s="2" t="s">
        <v>568</v>
      </c>
      <c r="E160" s="3">
        <v>43851</v>
      </c>
      <c r="F160" s="3">
        <v>43868</v>
      </c>
      <c r="G160" s="108">
        <f t="shared" si="28"/>
        <v>2</v>
      </c>
      <c r="H160" s="108" t="str">
        <f t="shared" si="29"/>
        <v>완료</v>
      </c>
      <c r="I160" s="112" t="s">
        <v>514</v>
      </c>
      <c r="J160" s="4" t="s">
        <v>569</v>
      </c>
      <c r="K160" s="5" t="s">
        <v>570</v>
      </c>
      <c r="L160" s="6" t="str">
        <f t="shared" si="22"/>
        <v>EE1</v>
      </c>
      <c r="M160" s="13" t="s">
        <v>539</v>
      </c>
      <c r="N160" s="7" t="s">
        <v>3558</v>
      </c>
      <c r="O160" s="7" t="s">
        <v>571</v>
      </c>
      <c r="P160" s="115" t="s">
        <v>572</v>
      </c>
      <c r="Q160" s="8" t="s">
        <v>576</v>
      </c>
      <c r="R160" s="2">
        <v>1</v>
      </c>
      <c r="S160" s="9">
        <v>500</v>
      </c>
      <c r="T160" s="10">
        <f t="shared" si="23"/>
        <v>250</v>
      </c>
      <c r="U160" s="9">
        <v>0</v>
      </c>
      <c r="V160" s="10">
        <f t="shared" si="24"/>
        <v>250</v>
      </c>
      <c r="W160" s="4" t="s">
        <v>573</v>
      </c>
      <c r="X160" s="2" t="s">
        <v>574</v>
      </c>
      <c r="Y160" s="11">
        <v>1</v>
      </c>
      <c r="Z160" s="12">
        <f t="shared" si="25"/>
        <v>17</v>
      </c>
      <c r="AA160" s="4" t="s">
        <v>575</v>
      </c>
      <c r="AC160" s="176">
        <f t="shared" si="30"/>
        <v>0</v>
      </c>
    </row>
    <row r="161" spans="1:29" customFormat="1">
      <c r="A161" s="181"/>
      <c r="B161" s="183">
        <f t="shared" si="26"/>
        <v>6</v>
      </c>
      <c r="C161" s="107" t="str">
        <f t="shared" si="27"/>
        <v>ATK</v>
      </c>
      <c r="D161" s="2" t="s">
        <v>568</v>
      </c>
      <c r="E161" s="3">
        <v>43851</v>
      </c>
      <c r="F161" s="3">
        <v>43868</v>
      </c>
      <c r="G161" s="108">
        <f t="shared" si="28"/>
        <v>2</v>
      </c>
      <c r="H161" s="108" t="str">
        <f t="shared" si="29"/>
        <v>완료</v>
      </c>
      <c r="I161" s="112" t="s">
        <v>514</v>
      </c>
      <c r="J161" s="4" t="s">
        <v>569</v>
      </c>
      <c r="K161" s="5" t="s">
        <v>570</v>
      </c>
      <c r="L161" s="6" t="str">
        <f t="shared" si="22"/>
        <v>EE1</v>
      </c>
      <c r="M161" s="13" t="s">
        <v>539</v>
      </c>
      <c r="N161" s="7" t="s">
        <v>3558</v>
      </c>
      <c r="O161" s="7" t="s">
        <v>571</v>
      </c>
      <c r="P161" s="115" t="s">
        <v>572</v>
      </c>
      <c r="Q161" s="8" t="s">
        <v>577</v>
      </c>
      <c r="R161" s="2">
        <v>1</v>
      </c>
      <c r="S161" s="9">
        <v>500</v>
      </c>
      <c r="T161" s="10">
        <f t="shared" si="23"/>
        <v>250</v>
      </c>
      <c r="U161" s="9">
        <v>0</v>
      </c>
      <c r="V161" s="10">
        <f t="shared" si="24"/>
        <v>250</v>
      </c>
      <c r="W161" s="4" t="s">
        <v>573</v>
      </c>
      <c r="X161" s="2" t="s">
        <v>574</v>
      </c>
      <c r="Y161" s="11">
        <v>1</v>
      </c>
      <c r="Z161" s="12">
        <f t="shared" si="25"/>
        <v>17</v>
      </c>
      <c r="AA161" s="4" t="s">
        <v>575</v>
      </c>
      <c r="AC161" s="176">
        <f t="shared" si="30"/>
        <v>0</v>
      </c>
    </row>
    <row r="162" spans="1:29" customFormat="1">
      <c r="A162" s="181"/>
      <c r="B162" s="183">
        <f t="shared" si="26"/>
        <v>6</v>
      </c>
      <c r="C162" s="107" t="str">
        <f t="shared" si="27"/>
        <v>ATK</v>
      </c>
      <c r="D162" s="2" t="s">
        <v>568</v>
      </c>
      <c r="E162" s="3">
        <v>43851</v>
      </c>
      <c r="F162" s="3">
        <v>43868</v>
      </c>
      <c r="G162" s="108">
        <f t="shared" si="28"/>
        <v>2</v>
      </c>
      <c r="H162" s="108" t="str">
        <f t="shared" si="29"/>
        <v>완료</v>
      </c>
      <c r="I162" s="112" t="s">
        <v>514</v>
      </c>
      <c r="J162" s="4" t="s">
        <v>569</v>
      </c>
      <c r="K162" s="5" t="s">
        <v>570</v>
      </c>
      <c r="L162" s="6" t="str">
        <f t="shared" si="22"/>
        <v>EE1</v>
      </c>
      <c r="M162" s="13" t="s">
        <v>539</v>
      </c>
      <c r="N162" s="7" t="s">
        <v>3558</v>
      </c>
      <c r="O162" s="7" t="s">
        <v>571</v>
      </c>
      <c r="P162" s="115" t="s">
        <v>572</v>
      </c>
      <c r="Q162" s="8" t="s">
        <v>578</v>
      </c>
      <c r="R162" s="2">
        <v>1</v>
      </c>
      <c r="S162" s="9">
        <v>500</v>
      </c>
      <c r="T162" s="10">
        <f t="shared" si="23"/>
        <v>250</v>
      </c>
      <c r="U162" s="9">
        <v>0</v>
      </c>
      <c r="V162" s="10">
        <f t="shared" si="24"/>
        <v>250</v>
      </c>
      <c r="W162" s="4" t="s">
        <v>573</v>
      </c>
      <c r="X162" s="2" t="s">
        <v>574</v>
      </c>
      <c r="Y162" s="11">
        <v>1</v>
      </c>
      <c r="Z162" s="12">
        <f t="shared" si="25"/>
        <v>17</v>
      </c>
      <c r="AA162" s="4" t="s">
        <v>575</v>
      </c>
      <c r="AC162" s="176">
        <f t="shared" si="30"/>
        <v>0</v>
      </c>
    </row>
    <row r="163" spans="1:29" customFormat="1">
      <c r="A163" s="181"/>
      <c r="B163" s="183">
        <f t="shared" si="26"/>
        <v>6</v>
      </c>
      <c r="C163" s="107" t="str">
        <f t="shared" si="27"/>
        <v>ATK</v>
      </c>
      <c r="D163" s="2" t="s">
        <v>568</v>
      </c>
      <c r="E163" s="3">
        <v>43851</v>
      </c>
      <c r="F163" s="3">
        <v>43868</v>
      </c>
      <c r="G163" s="108">
        <f t="shared" si="28"/>
        <v>2</v>
      </c>
      <c r="H163" s="108" t="str">
        <f t="shared" si="29"/>
        <v>완료</v>
      </c>
      <c r="I163" s="112" t="s">
        <v>514</v>
      </c>
      <c r="J163" s="4" t="s">
        <v>569</v>
      </c>
      <c r="K163" s="5" t="s">
        <v>570</v>
      </c>
      <c r="L163" s="6" t="str">
        <f t="shared" si="22"/>
        <v>EE1</v>
      </c>
      <c r="M163" s="13" t="s">
        <v>539</v>
      </c>
      <c r="N163" s="7" t="s">
        <v>3558</v>
      </c>
      <c r="O163" s="7" t="s">
        <v>571</v>
      </c>
      <c r="P163" s="115" t="s">
        <v>572</v>
      </c>
      <c r="Q163" s="8" t="s">
        <v>580</v>
      </c>
      <c r="R163" s="2">
        <v>1</v>
      </c>
      <c r="S163" s="9">
        <v>500</v>
      </c>
      <c r="T163" s="10">
        <f t="shared" si="23"/>
        <v>250</v>
      </c>
      <c r="U163" s="9">
        <v>0</v>
      </c>
      <c r="V163" s="10">
        <f t="shared" si="24"/>
        <v>250</v>
      </c>
      <c r="W163" s="4" t="s">
        <v>573</v>
      </c>
      <c r="X163" s="2" t="s">
        <v>574</v>
      </c>
      <c r="Y163" s="11">
        <v>1</v>
      </c>
      <c r="Z163" s="12">
        <f t="shared" si="25"/>
        <v>17</v>
      </c>
      <c r="AA163" s="4" t="s">
        <v>575</v>
      </c>
      <c r="AC163" s="176">
        <f t="shared" si="30"/>
        <v>0</v>
      </c>
    </row>
    <row r="164" spans="1:29" customFormat="1">
      <c r="A164" s="181"/>
      <c r="B164" s="183">
        <f t="shared" si="26"/>
        <v>6</v>
      </c>
      <c r="C164" s="107" t="str">
        <f t="shared" si="27"/>
        <v>ATK</v>
      </c>
      <c r="D164" s="2" t="s">
        <v>568</v>
      </c>
      <c r="E164" s="3">
        <v>43851</v>
      </c>
      <c r="F164" s="3">
        <v>43868</v>
      </c>
      <c r="G164" s="108">
        <f t="shared" si="28"/>
        <v>2</v>
      </c>
      <c r="H164" s="108" t="str">
        <f t="shared" si="29"/>
        <v>완료</v>
      </c>
      <c r="I164" s="112" t="s">
        <v>514</v>
      </c>
      <c r="J164" s="4" t="s">
        <v>569</v>
      </c>
      <c r="K164" s="5" t="s">
        <v>570</v>
      </c>
      <c r="L164" s="6" t="str">
        <f t="shared" si="22"/>
        <v>EE1</v>
      </c>
      <c r="M164" s="13" t="s">
        <v>539</v>
      </c>
      <c r="N164" s="7" t="s">
        <v>3558</v>
      </c>
      <c r="O164" s="7" t="s">
        <v>571</v>
      </c>
      <c r="P164" s="115" t="s">
        <v>572</v>
      </c>
      <c r="Q164" s="8" t="s">
        <v>581</v>
      </c>
      <c r="R164" s="2">
        <v>1</v>
      </c>
      <c r="S164" s="9">
        <v>500</v>
      </c>
      <c r="T164" s="10">
        <f t="shared" si="23"/>
        <v>250</v>
      </c>
      <c r="U164" s="9">
        <v>0</v>
      </c>
      <c r="V164" s="10">
        <f t="shared" si="24"/>
        <v>250</v>
      </c>
      <c r="W164" s="4" t="s">
        <v>573</v>
      </c>
      <c r="X164" s="2" t="s">
        <v>574</v>
      </c>
      <c r="Y164" s="11">
        <v>1</v>
      </c>
      <c r="Z164" s="12">
        <f t="shared" si="25"/>
        <v>17</v>
      </c>
      <c r="AA164" s="4" t="s">
        <v>130</v>
      </c>
      <c r="AC164" s="176">
        <f t="shared" si="30"/>
        <v>0</v>
      </c>
    </row>
    <row r="165" spans="1:29" customFormat="1">
      <c r="A165" s="181"/>
      <c r="B165" s="183">
        <f t="shared" si="26"/>
        <v>6</v>
      </c>
      <c r="C165" s="107" t="str">
        <f t="shared" si="27"/>
        <v>ATK</v>
      </c>
      <c r="D165" s="2" t="s">
        <v>568</v>
      </c>
      <c r="E165" s="3">
        <v>43851</v>
      </c>
      <c r="F165" s="3">
        <v>43868</v>
      </c>
      <c r="G165" s="108">
        <f t="shared" si="28"/>
        <v>2</v>
      </c>
      <c r="H165" s="108" t="str">
        <f t="shared" si="29"/>
        <v>완료</v>
      </c>
      <c r="I165" s="112" t="s">
        <v>514</v>
      </c>
      <c r="J165" s="4" t="s">
        <v>569</v>
      </c>
      <c r="K165" s="5" t="s">
        <v>570</v>
      </c>
      <c r="L165" s="6" t="str">
        <f t="shared" si="22"/>
        <v>EE1</v>
      </c>
      <c r="M165" s="13" t="s">
        <v>539</v>
      </c>
      <c r="N165" s="7" t="s">
        <v>3558</v>
      </c>
      <c r="O165" s="7" t="s">
        <v>571</v>
      </c>
      <c r="P165" s="115" t="s">
        <v>572</v>
      </c>
      <c r="Q165" s="8" t="s">
        <v>582</v>
      </c>
      <c r="R165" s="2">
        <v>1</v>
      </c>
      <c r="S165" s="9">
        <v>500</v>
      </c>
      <c r="T165" s="10">
        <f t="shared" si="23"/>
        <v>250</v>
      </c>
      <c r="U165" s="9">
        <v>0</v>
      </c>
      <c r="V165" s="10">
        <f t="shared" si="24"/>
        <v>250</v>
      </c>
      <c r="W165" s="4" t="s">
        <v>573</v>
      </c>
      <c r="X165" s="2" t="s">
        <v>574</v>
      </c>
      <c r="Y165" s="11">
        <v>1</v>
      </c>
      <c r="Z165" s="12">
        <f t="shared" si="25"/>
        <v>17</v>
      </c>
      <c r="AA165" s="4" t="s">
        <v>130</v>
      </c>
      <c r="AC165" s="176">
        <f t="shared" si="30"/>
        <v>0</v>
      </c>
    </row>
    <row r="166" spans="1:29" customFormat="1">
      <c r="A166" s="181"/>
      <c r="B166" s="183">
        <f t="shared" si="26"/>
        <v>6</v>
      </c>
      <c r="C166" s="107" t="str">
        <f t="shared" si="27"/>
        <v>ATK</v>
      </c>
      <c r="D166" s="2" t="s">
        <v>568</v>
      </c>
      <c r="E166" s="3">
        <v>43851</v>
      </c>
      <c r="F166" s="3">
        <v>43868</v>
      </c>
      <c r="G166" s="108">
        <f t="shared" si="28"/>
        <v>2</v>
      </c>
      <c r="H166" s="108" t="str">
        <f t="shared" si="29"/>
        <v>완료</v>
      </c>
      <c r="I166" s="112" t="s">
        <v>514</v>
      </c>
      <c r="J166" s="4" t="s">
        <v>569</v>
      </c>
      <c r="K166" s="5" t="s">
        <v>570</v>
      </c>
      <c r="L166" s="6" t="str">
        <f t="shared" si="22"/>
        <v>EE1</v>
      </c>
      <c r="M166" s="13" t="s">
        <v>539</v>
      </c>
      <c r="N166" s="7" t="s">
        <v>3558</v>
      </c>
      <c r="O166" s="7" t="s">
        <v>571</v>
      </c>
      <c r="P166" s="115" t="s">
        <v>572</v>
      </c>
      <c r="Q166" s="8" t="s">
        <v>583</v>
      </c>
      <c r="R166" s="2">
        <v>1</v>
      </c>
      <c r="S166" s="9">
        <v>500</v>
      </c>
      <c r="T166" s="10">
        <f t="shared" si="23"/>
        <v>250</v>
      </c>
      <c r="U166" s="9">
        <v>0</v>
      </c>
      <c r="V166" s="10">
        <f t="shared" si="24"/>
        <v>250</v>
      </c>
      <c r="W166" s="4" t="s">
        <v>573</v>
      </c>
      <c r="X166" s="2" t="s">
        <v>574</v>
      </c>
      <c r="Y166" s="11">
        <v>1</v>
      </c>
      <c r="Z166" s="12">
        <f t="shared" si="25"/>
        <v>17</v>
      </c>
      <c r="AA166" s="4" t="s">
        <v>130</v>
      </c>
      <c r="AC166" s="176">
        <f t="shared" si="30"/>
        <v>0</v>
      </c>
    </row>
    <row r="167" spans="1:29" customFormat="1">
      <c r="A167" s="181"/>
      <c r="B167" s="183">
        <f t="shared" si="26"/>
        <v>6</v>
      </c>
      <c r="C167" s="107" t="str">
        <f t="shared" si="27"/>
        <v>ATK</v>
      </c>
      <c r="D167" s="2" t="s">
        <v>568</v>
      </c>
      <c r="E167" s="3">
        <v>43851</v>
      </c>
      <c r="F167" s="3">
        <v>43868</v>
      </c>
      <c r="G167" s="108">
        <f t="shared" si="28"/>
        <v>2</v>
      </c>
      <c r="H167" s="108" t="str">
        <f t="shared" si="29"/>
        <v>완료</v>
      </c>
      <c r="I167" s="112" t="s">
        <v>514</v>
      </c>
      <c r="J167" s="4" t="s">
        <v>569</v>
      </c>
      <c r="K167" s="5" t="s">
        <v>570</v>
      </c>
      <c r="L167" s="6" t="str">
        <f t="shared" si="22"/>
        <v>EE1</v>
      </c>
      <c r="M167" s="13" t="s">
        <v>539</v>
      </c>
      <c r="N167" s="7" t="s">
        <v>3558</v>
      </c>
      <c r="O167" s="7" t="s">
        <v>571</v>
      </c>
      <c r="P167" s="115" t="s">
        <v>572</v>
      </c>
      <c r="Q167" s="8" t="s">
        <v>584</v>
      </c>
      <c r="R167" s="2">
        <v>1</v>
      </c>
      <c r="S167" s="9">
        <v>500</v>
      </c>
      <c r="T167" s="10">
        <f t="shared" si="23"/>
        <v>250</v>
      </c>
      <c r="U167" s="9">
        <v>0</v>
      </c>
      <c r="V167" s="10">
        <f t="shared" si="24"/>
        <v>250</v>
      </c>
      <c r="W167" s="4" t="s">
        <v>573</v>
      </c>
      <c r="X167" s="2" t="s">
        <v>574</v>
      </c>
      <c r="Y167" s="11">
        <v>1</v>
      </c>
      <c r="Z167" s="12">
        <f t="shared" si="25"/>
        <v>17</v>
      </c>
      <c r="AA167" s="4" t="s">
        <v>130</v>
      </c>
      <c r="AC167" s="176">
        <f t="shared" si="30"/>
        <v>0</v>
      </c>
    </row>
    <row r="168" spans="1:29" customFormat="1">
      <c r="A168" s="181"/>
      <c r="B168" s="183">
        <f t="shared" si="26"/>
        <v>6</v>
      </c>
      <c r="C168" s="107" t="str">
        <f t="shared" si="27"/>
        <v>ATK</v>
      </c>
      <c r="D168" s="2" t="s">
        <v>568</v>
      </c>
      <c r="E168" s="3">
        <v>43851</v>
      </c>
      <c r="F168" s="3">
        <v>43868</v>
      </c>
      <c r="G168" s="108">
        <f t="shared" si="28"/>
        <v>2</v>
      </c>
      <c r="H168" s="108" t="str">
        <f t="shared" si="29"/>
        <v>완료</v>
      </c>
      <c r="I168" s="112" t="s">
        <v>514</v>
      </c>
      <c r="J168" s="4" t="s">
        <v>569</v>
      </c>
      <c r="K168" s="5" t="s">
        <v>570</v>
      </c>
      <c r="L168" s="6" t="str">
        <f t="shared" si="22"/>
        <v>EE1</v>
      </c>
      <c r="M168" s="13" t="s">
        <v>539</v>
      </c>
      <c r="N168" s="7" t="s">
        <v>3558</v>
      </c>
      <c r="O168" s="7" t="s">
        <v>571</v>
      </c>
      <c r="P168" s="115" t="s">
        <v>572</v>
      </c>
      <c r="Q168" s="8" t="s">
        <v>585</v>
      </c>
      <c r="R168" s="2">
        <v>1</v>
      </c>
      <c r="S168" s="9">
        <v>500</v>
      </c>
      <c r="T168" s="10">
        <f t="shared" si="23"/>
        <v>250</v>
      </c>
      <c r="U168" s="9">
        <v>0</v>
      </c>
      <c r="V168" s="10">
        <f t="shared" si="24"/>
        <v>250</v>
      </c>
      <c r="W168" s="4" t="s">
        <v>573</v>
      </c>
      <c r="X168" s="2" t="s">
        <v>574</v>
      </c>
      <c r="Y168" s="11">
        <v>1</v>
      </c>
      <c r="Z168" s="12">
        <f t="shared" si="25"/>
        <v>17</v>
      </c>
      <c r="AA168" s="4" t="s">
        <v>130</v>
      </c>
      <c r="AC168" s="176">
        <f t="shared" si="30"/>
        <v>0</v>
      </c>
    </row>
    <row r="169" spans="1:29" customFormat="1">
      <c r="A169" s="181"/>
      <c r="B169" s="183">
        <f t="shared" si="26"/>
        <v>4</v>
      </c>
      <c r="C169" s="107" t="str">
        <f t="shared" si="27"/>
        <v>ATK</v>
      </c>
      <c r="D169" s="2" t="s">
        <v>558</v>
      </c>
      <c r="E169" s="3">
        <v>43851</v>
      </c>
      <c r="F169" s="3">
        <v>43852</v>
      </c>
      <c r="G169" s="108">
        <f t="shared" si="28"/>
        <v>1</v>
      </c>
      <c r="H169" s="108" t="str">
        <f t="shared" si="29"/>
        <v>완료</v>
      </c>
      <c r="I169" s="112" t="s">
        <v>218</v>
      </c>
      <c r="J169" s="4" t="s">
        <v>118</v>
      </c>
      <c r="K169" s="5" t="s">
        <v>137</v>
      </c>
      <c r="L169" s="6" t="str">
        <f t="shared" si="22"/>
        <v>2T2</v>
      </c>
      <c r="M169" s="13" t="s">
        <v>226</v>
      </c>
      <c r="N169" s="7" t="s">
        <v>140</v>
      </c>
      <c r="O169" s="13" t="s">
        <v>225</v>
      </c>
      <c r="P169" s="115" t="s">
        <v>586</v>
      </c>
      <c r="Q169" s="8"/>
      <c r="R169" s="2">
        <v>1</v>
      </c>
      <c r="S169" s="9">
        <v>2500</v>
      </c>
      <c r="T169" s="10">
        <f t="shared" si="23"/>
        <v>1250</v>
      </c>
      <c r="U169" s="9">
        <v>0</v>
      </c>
      <c r="V169" s="10">
        <f t="shared" si="24"/>
        <v>1250</v>
      </c>
      <c r="W169" s="4" t="s">
        <v>249</v>
      </c>
      <c r="X169" s="2"/>
      <c r="Y169" s="11">
        <v>6</v>
      </c>
      <c r="Z169" s="12">
        <f t="shared" si="25"/>
        <v>1</v>
      </c>
      <c r="AA169" s="4" t="s">
        <v>27</v>
      </c>
      <c r="AC169" s="176">
        <f t="shared" si="30"/>
        <v>0</v>
      </c>
    </row>
    <row r="170" spans="1:29" customFormat="1">
      <c r="A170" s="181"/>
      <c r="B170" s="183">
        <f t="shared" si="26"/>
        <v>4</v>
      </c>
      <c r="C170" s="107" t="str">
        <f t="shared" si="27"/>
        <v>ATK</v>
      </c>
      <c r="D170" s="2" t="s">
        <v>587</v>
      </c>
      <c r="E170" s="3">
        <v>43851</v>
      </c>
      <c r="F170" s="3">
        <v>43852</v>
      </c>
      <c r="G170" s="108">
        <f t="shared" si="28"/>
        <v>1</v>
      </c>
      <c r="H170" s="108" t="str">
        <f t="shared" si="29"/>
        <v>완료</v>
      </c>
      <c r="I170" s="112" t="s">
        <v>218</v>
      </c>
      <c r="J170" s="4" t="s">
        <v>121</v>
      </c>
      <c r="K170" s="5" t="s">
        <v>136</v>
      </c>
      <c r="L170" s="6" t="str">
        <f t="shared" si="22"/>
        <v>5T1</v>
      </c>
      <c r="M170" s="13" t="s">
        <v>588</v>
      </c>
      <c r="N170" s="7" t="s">
        <v>3559</v>
      </c>
      <c r="O170" s="13" t="s">
        <v>589</v>
      </c>
      <c r="P170" s="115"/>
      <c r="Q170" s="8"/>
      <c r="R170" s="2">
        <v>1</v>
      </c>
      <c r="S170" s="9">
        <v>600</v>
      </c>
      <c r="T170" s="10">
        <f t="shared" si="23"/>
        <v>300</v>
      </c>
      <c r="U170" s="9">
        <v>4</v>
      </c>
      <c r="V170" s="10">
        <f t="shared" si="24"/>
        <v>296</v>
      </c>
      <c r="W170" s="4" t="s">
        <v>122</v>
      </c>
      <c r="X170" s="2"/>
      <c r="Y170" s="11">
        <v>2</v>
      </c>
      <c r="Z170" s="12">
        <f t="shared" si="25"/>
        <v>1</v>
      </c>
      <c r="AA170" s="4" t="s">
        <v>117</v>
      </c>
      <c r="AC170" s="176">
        <f t="shared" si="30"/>
        <v>3.6363636363636364E-3</v>
      </c>
    </row>
    <row r="171" spans="1:29" customFormat="1">
      <c r="A171" s="181"/>
      <c r="B171" s="183">
        <f t="shared" si="26"/>
        <v>4</v>
      </c>
      <c r="C171" s="107" t="str">
        <f t="shared" si="27"/>
        <v>ATK</v>
      </c>
      <c r="D171" s="2" t="s">
        <v>590</v>
      </c>
      <c r="E171" s="3">
        <v>43851</v>
      </c>
      <c r="F171" s="3">
        <v>43852</v>
      </c>
      <c r="G171" s="108">
        <f t="shared" si="28"/>
        <v>1</v>
      </c>
      <c r="H171" s="108" t="str">
        <f t="shared" si="29"/>
        <v>완료</v>
      </c>
      <c r="I171" s="112" t="s">
        <v>218</v>
      </c>
      <c r="J171" s="4" t="s">
        <v>499</v>
      </c>
      <c r="K171" s="5" t="s">
        <v>499</v>
      </c>
      <c r="L171" s="6" t="str">
        <f t="shared" si="22"/>
        <v>QA</v>
      </c>
      <c r="M171" s="13" t="s">
        <v>270</v>
      </c>
      <c r="N171" s="7" t="s">
        <v>3560</v>
      </c>
      <c r="O171" s="13" t="s">
        <v>270</v>
      </c>
      <c r="P171" s="115" t="s">
        <v>591</v>
      </c>
      <c r="Q171" s="8" t="s">
        <v>592</v>
      </c>
      <c r="R171" s="2">
        <v>1</v>
      </c>
      <c r="S171" s="9">
        <v>970</v>
      </c>
      <c r="T171" s="10">
        <f t="shared" si="23"/>
        <v>485</v>
      </c>
      <c r="U171" s="9">
        <v>0</v>
      </c>
      <c r="V171" s="10">
        <f t="shared" si="24"/>
        <v>485</v>
      </c>
      <c r="W171" s="4" t="s">
        <v>122</v>
      </c>
      <c r="X171" s="2"/>
      <c r="Y171" s="11">
        <v>3</v>
      </c>
      <c r="Z171" s="12">
        <f t="shared" si="25"/>
        <v>1</v>
      </c>
      <c r="AA171" s="4" t="s">
        <v>120</v>
      </c>
      <c r="AC171" s="176">
        <f t="shared" si="30"/>
        <v>0</v>
      </c>
    </row>
    <row r="172" spans="1:29" customFormat="1">
      <c r="A172" s="181"/>
      <c r="B172" s="183">
        <f t="shared" si="26"/>
        <v>4</v>
      </c>
      <c r="C172" s="107" t="str">
        <f t="shared" si="27"/>
        <v>ATK</v>
      </c>
      <c r="D172" s="2" t="s">
        <v>593</v>
      </c>
      <c r="E172" s="3">
        <v>43852</v>
      </c>
      <c r="F172" s="3">
        <v>43852</v>
      </c>
      <c r="G172" s="108">
        <f t="shared" si="28"/>
        <v>1</v>
      </c>
      <c r="H172" s="108" t="str">
        <f t="shared" si="29"/>
        <v>완료</v>
      </c>
      <c r="I172" s="112" t="s">
        <v>218</v>
      </c>
      <c r="J172" s="4" t="s">
        <v>115</v>
      </c>
      <c r="K172" s="5" t="s">
        <v>116</v>
      </c>
      <c r="L172" s="6" t="str">
        <f t="shared" si="22"/>
        <v>EE2</v>
      </c>
      <c r="M172" s="13" t="s">
        <v>594</v>
      </c>
      <c r="N172" s="7" t="s">
        <v>3561</v>
      </c>
      <c r="O172" s="13" t="s">
        <v>595</v>
      </c>
      <c r="P172" s="115" t="s">
        <v>596</v>
      </c>
      <c r="Q172" s="8" t="s">
        <v>597</v>
      </c>
      <c r="R172" s="2">
        <v>1</v>
      </c>
      <c r="S172" s="9">
        <v>70</v>
      </c>
      <c r="T172" s="10">
        <f t="shared" si="23"/>
        <v>35</v>
      </c>
      <c r="U172" s="9">
        <v>2</v>
      </c>
      <c r="V172" s="10">
        <f t="shared" si="24"/>
        <v>33</v>
      </c>
      <c r="W172" s="4" t="s">
        <v>122</v>
      </c>
      <c r="X172" s="2"/>
      <c r="Y172" s="11">
        <v>3</v>
      </c>
      <c r="Z172" s="12">
        <f t="shared" si="25"/>
        <v>0</v>
      </c>
      <c r="AA172" s="4" t="s">
        <v>120</v>
      </c>
      <c r="AC172" s="176">
        <f t="shared" si="30"/>
        <v>1.8181818181818182E-3</v>
      </c>
    </row>
    <row r="173" spans="1:29" customFormat="1">
      <c r="A173" s="181"/>
      <c r="B173" s="183">
        <f t="shared" si="26"/>
        <v>4</v>
      </c>
      <c r="C173" s="107" t="str">
        <f t="shared" si="27"/>
        <v>ATK</v>
      </c>
      <c r="D173" s="2" t="s">
        <v>598</v>
      </c>
      <c r="E173" s="3">
        <v>43852</v>
      </c>
      <c r="F173" s="3">
        <v>43852</v>
      </c>
      <c r="G173" s="108">
        <f t="shared" si="28"/>
        <v>1</v>
      </c>
      <c r="H173" s="108" t="str">
        <f t="shared" si="29"/>
        <v>완료</v>
      </c>
      <c r="I173" s="112" t="s">
        <v>218</v>
      </c>
      <c r="J173" s="4" t="s">
        <v>115</v>
      </c>
      <c r="K173" s="5" t="s">
        <v>138</v>
      </c>
      <c r="L173" s="6" t="str">
        <f t="shared" si="22"/>
        <v>EE1</v>
      </c>
      <c r="M173" s="13"/>
      <c r="N173" s="7" t="s">
        <v>3562</v>
      </c>
      <c r="O173" s="13" t="s">
        <v>599</v>
      </c>
      <c r="P173" s="115" t="s">
        <v>600</v>
      </c>
      <c r="Q173" s="8"/>
      <c r="R173" s="2">
        <v>1</v>
      </c>
      <c r="S173" s="9">
        <v>2500</v>
      </c>
      <c r="T173" s="10">
        <f t="shared" si="23"/>
        <v>1250</v>
      </c>
      <c r="U173" s="9"/>
      <c r="V173" s="10">
        <f t="shared" si="24"/>
        <v>1250</v>
      </c>
      <c r="W173" s="4" t="s">
        <v>122</v>
      </c>
      <c r="X173" s="2"/>
      <c r="Y173" s="11">
        <v>8</v>
      </c>
      <c r="Z173" s="12">
        <f t="shared" si="25"/>
        <v>0</v>
      </c>
      <c r="AA173" s="4" t="s">
        <v>259</v>
      </c>
      <c r="AC173" s="176">
        <f t="shared" si="30"/>
        <v>0</v>
      </c>
    </row>
    <row r="174" spans="1:29" customFormat="1">
      <c r="A174" s="181"/>
      <c r="B174" s="183">
        <f t="shared" si="26"/>
        <v>10</v>
      </c>
      <c r="C174" s="107" t="str">
        <f t="shared" si="27"/>
        <v>ATK</v>
      </c>
      <c r="D174" s="2" t="s">
        <v>255</v>
      </c>
      <c r="E174" s="3">
        <v>43853</v>
      </c>
      <c r="F174" s="3">
        <v>43895</v>
      </c>
      <c r="G174" s="108">
        <f t="shared" si="28"/>
        <v>3</v>
      </c>
      <c r="H174" s="108" t="str">
        <f t="shared" si="29"/>
        <v>수리불가</v>
      </c>
      <c r="I174" s="112" t="s">
        <v>601</v>
      </c>
      <c r="J174" s="4" t="s">
        <v>127</v>
      </c>
      <c r="K174" s="5" t="s">
        <v>135</v>
      </c>
      <c r="L174" s="6" t="str">
        <f t="shared" si="22"/>
        <v>1T3</v>
      </c>
      <c r="M174" s="13" t="s">
        <v>256</v>
      </c>
      <c r="N174" s="7" t="s">
        <v>3529</v>
      </c>
      <c r="O174" s="13" t="s">
        <v>602</v>
      </c>
      <c r="P174" s="115" t="s">
        <v>603</v>
      </c>
      <c r="Q174" s="8"/>
      <c r="R174" s="2">
        <v>1</v>
      </c>
      <c r="S174" s="9">
        <v>4500</v>
      </c>
      <c r="T174" s="10">
        <f t="shared" si="23"/>
        <v>2250</v>
      </c>
      <c r="U174" s="9">
        <v>10</v>
      </c>
      <c r="V174" s="10">
        <f t="shared" si="24"/>
        <v>2240</v>
      </c>
      <c r="W174" s="4" t="s">
        <v>122</v>
      </c>
      <c r="X174" s="2"/>
      <c r="Y174" s="11">
        <v>2</v>
      </c>
      <c r="Z174" s="12">
        <f t="shared" si="25"/>
        <v>42</v>
      </c>
      <c r="AA174" s="4" t="s">
        <v>27</v>
      </c>
      <c r="AC174" s="176">
        <f t="shared" si="30"/>
        <v>9.0909090909090905E-3</v>
      </c>
    </row>
    <row r="175" spans="1:29" customFormat="1">
      <c r="A175" s="181"/>
      <c r="B175" s="183">
        <f t="shared" si="26"/>
        <v>4</v>
      </c>
      <c r="C175" s="107" t="str">
        <f t="shared" si="27"/>
        <v>ATK</v>
      </c>
      <c r="D175" s="2" t="s">
        <v>255</v>
      </c>
      <c r="E175" s="3">
        <v>43853</v>
      </c>
      <c r="F175" s="3">
        <v>43853</v>
      </c>
      <c r="G175" s="108">
        <f t="shared" si="28"/>
        <v>1</v>
      </c>
      <c r="H175" s="108" t="str">
        <f t="shared" si="29"/>
        <v>완료</v>
      </c>
      <c r="I175" s="112" t="s">
        <v>218</v>
      </c>
      <c r="J175" s="4" t="s">
        <v>127</v>
      </c>
      <c r="K175" s="5" t="s">
        <v>135</v>
      </c>
      <c r="L175" s="6" t="str">
        <f t="shared" si="22"/>
        <v>1T3</v>
      </c>
      <c r="M175" s="13" t="s">
        <v>256</v>
      </c>
      <c r="N175" s="7" t="s">
        <v>3529</v>
      </c>
      <c r="O175" s="13" t="s">
        <v>4894</v>
      </c>
      <c r="P175" s="115" t="s">
        <v>605</v>
      </c>
      <c r="Q175" s="8"/>
      <c r="R175" s="2">
        <v>1</v>
      </c>
      <c r="S175" s="9">
        <v>3500</v>
      </c>
      <c r="T175" s="10">
        <f t="shared" si="23"/>
        <v>1750</v>
      </c>
      <c r="U175" s="9">
        <v>0</v>
      </c>
      <c r="V175" s="10">
        <f t="shared" si="24"/>
        <v>1750</v>
      </c>
      <c r="W175" s="4" t="s">
        <v>122</v>
      </c>
      <c r="X175" s="2"/>
      <c r="Y175" s="11">
        <v>2</v>
      </c>
      <c r="Z175" s="12">
        <f t="shared" si="25"/>
        <v>0</v>
      </c>
      <c r="AA175" s="4" t="s">
        <v>27</v>
      </c>
      <c r="AC175" s="176">
        <f t="shared" si="30"/>
        <v>0</v>
      </c>
    </row>
    <row r="176" spans="1:29" customFormat="1">
      <c r="A176" s="181"/>
      <c r="B176" s="183">
        <f t="shared" si="26"/>
        <v>4</v>
      </c>
      <c r="C176" s="107" t="str">
        <f t="shared" si="27"/>
        <v>ATK</v>
      </c>
      <c r="D176" s="2" t="s">
        <v>274</v>
      </c>
      <c r="E176" s="3">
        <v>43853</v>
      </c>
      <c r="F176" s="3">
        <v>43853</v>
      </c>
      <c r="G176" s="108">
        <f t="shared" si="28"/>
        <v>1</v>
      </c>
      <c r="H176" s="108" t="str">
        <f t="shared" si="29"/>
        <v>완료</v>
      </c>
      <c r="I176" s="112" t="s">
        <v>218</v>
      </c>
      <c r="J176" s="4" t="s">
        <v>132</v>
      </c>
      <c r="K176" s="5" t="s">
        <v>143</v>
      </c>
      <c r="L176" s="6" t="str">
        <f t="shared" si="22"/>
        <v>3T4</v>
      </c>
      <c r="M176" s="13" t="s">
        <v>158</v>
      </c>
      <c r="N176" s="7" t="s">
        <v>3500</v>
      </c>
      <c r="O176" s="13" t="s">
        <v>275</v>
      </c>
      <c r="P176" s="115"/>
      <c r="Q176" s="8"/>
      <c r="R176" s="2">
        <v>1</v>
      </c>
      <c r="S176" s="9">
        <v>1200</v>
      </c>
      <c r="T176" s="10">
        <f t="shared" si="23"/>
        <v>600</v>
      </c>
      <c r="U176" s="9">
        <v>100</v>
      </c>
      <c r="V176" s="10">
        <f t="shared" si="24"/>
        <v>500</v>
      </c>
      <c r="W176" s="4" t="s">
        <v>249</v>
      </c>
      <c r="X176" s="2"/>
      <c r="Y176" s="11">
        <v>2</v>
      </c>
      <c r="Z176" s="12">
        <f t="shared" si="25"/>
        <v>0</v>
      </c>
      <c r="AA176" s="4" t="s">
        <v>27</v>
      </c>
      <c r="AC176" s="176">
        <f t="shared" si="30"/>
        <v>9.0909090909090912E-2</v>
      </c>
    </row>
    <row r="177" spans="2:30">
      <c r="B177" s="183">
        <f t="shared" si="26"/>
        <v>4</v>
      </c>
      <c r="C177" s="107" t="str">
        <f t="shared" si="27"/>
        <v>ATK</v>
      </c>
      <c r="D177" s="2" t="s">
        <v>610</v>
      </c>
      <c r="E177" s="3">
        <v>43852</v>
      </c>
      <c r="F177" s="3">
        <v>43853</v>
      </c>
      <c r="G177" s="108">
        <f t="shared" si="28"/>
        <v>1</v>
      </c>
      <c r="H177" s="108" t="str">
        <f t="shared" si="29"/>
        <v>완료</v>
      </c>
      <c r="I177" s="112" t="s">
        <v>611</v>
      </c>
      <c r="J177" s="4" t="s">
        <v>612</v>
      </c>
      <c r="K177" s="5" t="s">
        <v>613</v>
      </c>
      <c r="L177" s="6" t="str">
        <f t="shared" si="22"/>
        <v>EE1</v>
      </c>
      <c r="M177" s="13" t="s">
        <v>256</v>
      </c>
      <c r="N177" s="7" t="s">
        <v>3529</v>
      </c>
      <c r="O177" s="13" t="s">
        <v>370</v>
      </c>
      <c r="P177" s="115" t="s">
        <v>614</v>
      </c>
      <c r="Q177" s="8"/>
      <c r="R177" s="2">
        <v>1</v>
      </c>
      <c r="S177" s="9">
        <v>2200</v>
      </c>
      <c r="T177" s="10">
        <f t="shared" si="23"/>
        <v>1100</v>
      </c>
      <c r="U177" s="9">
        <v>20</v>
      </c>
      <c r="V177" s="10">
        <f t="shared" si="24"/>
        <v>1080</v>
      </c>
      <c r="W177" s="4" t="s">
        <v>615</v>
      </c>
      <c r="X177" s="2"/>
      <c r="Y177" s="11">
        <v>3</v>
      </c>
      <c r="Z177" s="12">
        <f t="shared" si="25"/>
        <v>1</v>
      </c>
      <c r="AA177" s="4" t="s">
        <v>616</v>
      </c>
      <c r="AC177" s="176">
        <f t="shared" si="30"/>
        <v>1.8181818181818181E-2</v>
      </c>
      <c r="AD177"/>
    </row>
    <row r="178" spans="2:30">
      <c r="B178" s="183">
        <f t="shared" si="26"/>
        <v>5</v>
      </c>
      <c r="C178" s="107" t="str">
        <f t="shared" si="27"/>
        <v>ATK</v>
      </c>
      <c r="D178" s="2" t="s">
        <v>617</v>
      </c>
      <c r="E178" s="3">
        <v>43852</v>
      </c>
      <c r="F178" s="3">
        <v>43858</v>
      </c>
      <c r="G178" s="108">
        <f t="shared" si="28"/>
        <v>1</v>
      </c>
      <c r="H178" s="108" t="str">
        <f t="shared" si="29"/>
        <v>완료</v>
      </c>
      <c r="I178" s="112" t="s">
        <v>218</v>
      </c>
      <c r="J178" s="4" t="s">
        <v>281</v>
      </c>
      <c r="K178" s="5" t="s">
        <v>332</v>
      </c>
      <c r="L178" s="6" t="str">
        <f t="shared" si="22"/>
        <v>EE2</v>
      </c>
      <c r="M178" s="13" t="s">
        <v>256</v>
      </c>
      <c r="N178" s="7" t="s">
        <v>3529</v>
      </c>
      <c r="O178" s="13" t="s">
        <v>618</v>
      </c>
      <c r="P178" s="115" t="s">
        <v>619</v>
      </c>
      <c r="Q178" s="8"/>
      <c r="R178" s="2">
        <v>1</v>
      </c>
      <c r="S178" s="9">
        <v>2500</v>
      </c>
      <c r="T178" s="10">
        <f t="shared" si="23"/>
        <v>1250</v>
      </c>
      <c r="U178" s="9">
        <v>5</v>
      </c>
      <c r="V178" s="10">
        <f t="shared" si="24"/>
        <v>1245</v>
      </c>
      <c r="W178" s="4" t="s">
        <v>249</v>
      </c>
      <c r="X178" s="2"/>
      <c r="Y178" s="11">
        <v>6</v>
      </c>
      <c r="Z178" s="12">
        <f t="shared" si="25"/>
        <v>6</v>
      </c>
      <c r="AA178" s="4" t="s">
        <v>27</v>
      </c>
      <c r="AC178" s="176">
        <f t="shared" si="30"/>
        <v>4.5454545454545452E-3</v>
      </c>
      <c r="AD178"/>
    </row>
    <row r="179" spans="2:30">
      <c r="B179" s="183">
        <f t="shared" si="26"/>
        <v>5</v>
      </c>
      <c r="C179" s="107" t="str">
        <f t="shared" si="27"/>
        <v>ATK</v>
      </c>
      <c r="D179" s="2" t="s">
        <v>620</v>
      </c>
      <c r="E179" s="3">
        <v>43858</v>
      </c>
      <c r="F179" s="3">
        <v>43859</v>
      </c>
      <c r="G179" s="108">
        <f t="shared" si="28"/>
        <v>1</v>
      </c>
      <c r="H179" s="108" t="str">
        <f t="shared" si="29"/>
        <v>완료</v>
      </c>
      <c r="I179" s="112" t="s">
        <v>346</v>
      </c>
      <c r="J179" s="4" t="s">
        <v>481</v>
      </c>
      <c r="K179" s="5" t="s">
        <v>621</v>
      </c>
      <c r="L179" s="6" t="str">
        <f t="shared" si="22"/>
        <v>2T3</v>
      </c>
      <c r="M179" s="13" t="s">
        <v>207</v>
      </c>
      <c r="N179" s="7" t="s">
        <v>3563</v>
      </c>
      <c r="O179" s="13" t="s">
        <v>339</v>
      </c>
      <c r="P179" s="115" t="s">
        <v>654</v>
      </c>
      <c r="Q179" s="8" t="s">
        <v>622</v>
      </c>
      <c r="R179" s="2">
        <v>1</v>
      </c>
      <c r="S179" s="9">
        <v>1500</v>
      </c>
      <c r="T179" s="10">
        <f t="shared" si="23"/>
        <v>750</v>
      </c>
      <c r="U179" s="9">
        <v>5</v>
      </c>
      <c r="V179" s="10">
        <f t="shared" si="24"/>
        <v>745</v>
      </c>
      <c r="W179" s="4" t="s">
        <v>655</v>
      </c>
      <c r="X179" s="2"/>
      <c r="Y179" s="11">
        <v>4</v>
      </c>
      <c r="Z179" s="12">
        <f t="shared" si="25"/>
        <v>1</v>
      </c>
      <c r="AA179" s="4" t="s">
        <v>656</v>
      </c>
      <c r="AC179" s="176">
        <f t="shared" si="30"/>
        <v>4.5454545454545452E-3</v>
      </c>
      <c r="AD179"/>
    </row>
    <row r="180" spans="2:30">
      <c r="B180" s="183">
        <f t="shared" si="26"/>
        <v>5</v>
      </c>
      <c r="C180" s="107" t="str">
        <f t="shared" si="27"/>
        <v>ATK</v>
      </c>
      <c r="D180" s="2" t="s">
        <v>633</v>
      </c>
      <c r="E180" s="3">
        <v>43858</v>
      </c>
      <c r="F180" s="3">
        <v>43858</v>
      </c>
      <c r="G180" s="108">
        <f t="shared" si="28"/>
        <v>1</v>
      </c>
      <c r="H180" s="108" t="str">
        <f t="shared" si="29"/>
        <v>완료</v>
      </c>
      <c r="I180" s="112" t="s">
        <v>634</v>
      </c>
      <c r="J180" s="4" t="s">
        <v>635</v>
      </c>
      <c r="K180" s="5" t="s">
        <v>635</v>
      </c>
      <c r="L180" s="6" t="str">
        <f t="shared" si="22"/>
        <v>PM</v>
      </c>
      <c r="M180" s="13" t="s">
        <v>636</v>
      </c>
      <c r="N180" s="7" t="s">
        <v>3564</v>
      </c>
      <c r="O180" s="13" t="s">
        <v>638</v>
      </c>
      <c r="P180" s="115" t="s">
        <v>637</v>
      </c>
      <c r="Q180" s="8"/>
      <c r="R180" s="2">
        <v>1</v>
      </c>
      <c r="S180" s="9">
        <v>1500</v>
      </c>
      <c r="T180" s="10">
        <f t="shared" si="23"/>
        <v>750</v>
      </c>
      <c r="U180" s="9">
        <v>150</v>
      </c>
      <c r="V180" s="10">
        <f t="shared" si="24"/>
        <v>600</v>
      </c>
      <c r="W180" s="4" t="s">
        <v>639</v>
      </c>
      <c r="X180" s="2"/>
      <c r="Y180" s="11">
        <v>1</v>
      </c>
      <c r="Z180" s="12">
        <f t="shared" si="25"/>
        <v>0</v>
      </c>
      <c r="AA180" s="4" t="s">
        <v>640</v>
      </c>
      <c r="AC180" s="176">
        <f t="shared" si="30"/>
        <v>0.13636363636363635</v>
      </c>
      <c r="AD180"/>
    </row>
    <row r="181" spans="2:30">
      <c r="B181" s="183">
        <f t="shared" si="26"/>
        <v>5</v>
      </c>
      <c r="C181" s="107" t="str">
        <f t="shared" si="27"/>
        <v>ATK</v>
      </c>
      <c r="D181" s="2" t="s">
        <v>641</v>
      </c>
      <c r="E181" s="3">
        <v>43858</v>
      </c>
      <c r="F181" s="3">
        <v>43858</v>
      </c>
      <c r="G181" s="108">
        <f t="shared" si="28"/>
        <v>1</v>
      </c>
      <c r="H181" s="108" t="str">
        <f t="shared" si="29"/>
        <v>완료</v>
      </c>
      <c r="I181" s="112" t="s">
        <v>218</v>
      </c>
      <c r="J181" s="4" t="s">
        <v>139</v>
      </c>
      <c r="K181" s="5" t="s">
        <v>466</v>
      </c>
      <c r="L181" s="6" t="str">
        <f t="shared" si="22"/>
        <v>6T2</v>
      </c>
      <c r="M181" s="13" t="s">
        <v>642</v>
      </c>
      <c r="N181" s="7" t="s">
        <v>3565</v>
      </c>
      <c r="O181" s="13" t="s">
        <v>643</v>
      </c>
      <c r="P181" s="115" t="s">
        <v>644</v>
      </c>
      <c r="Q181" s="8"/>
      <c r="R181" s="2">
        <v>1</v>
      </c>
      <c r="S181" s="9">
        <v>7800</v>
      </c>
      <c r="T181" s="10">
        <f t="shared" si="23"/>
        <v>3900</v>
      </c>
      <c r="U181" s="9">
        <v>50</v>
      </c>
      <c r="V181" s="10">
        <f t="shared" si="24"/>
        <v>3850</v>
      </c>
      <c r="W181" s="4" t="s">
        <v>122</v>
      </c>
      <c r="X181" s="2"/>
      <c r="Y181" s="11">
        <v>8</v>
      </c>
      <c r="Z181" s="12">
        <f t="shared" si="25"/>
        <v>0</v>
      </c>
      <c r="AA181" s="4" t="s">
        <v>212</v>
      </c>
      <c r="AC181" s="176">
        <f t="shared" si="30"/>
        <v>4.5454545454545456E-2</v>
      </c>
      <c r="AD181"/>
    </row>
    <row r="182" spans="2:30">
      <c r="B182" s="183">
        <f t="shared" si="26"/>
        <v>5</v>
      </c>
      <c r="C182" s="107" t="str">
        <f t="shared" si="27"/>
        <v>ATK</v>
      </c>
      <c r="D182" s="2" t="s">
        <v>645</v>
      </c>
      <c r="E182" s="3">
        <v>43858</v>
      </c>
      <c r="F182" s="3">
        <v>43858</v>
      </c>
      <c r="G182" s="108">
        <f t="shared" si="28"/>
        <v>1</v>
      </c>
      <c r="H182" s="108" t="str">
        <f t="shared" si="29"/>
        <v>완료</v>
      </c>
      <c r="I182" s="112" t="s">
        <v>218</v>
      </c>
      <c r="J182" s="4" t="s">
        <v>115</v>
      </c>
      <c r="K182" s="5" t="s">
        <v>138</v>
      </c>
      <c r="L182" s="6" t="str">
        <f t="shared" si="22"/>
        <v>EE1</v>
      </c>
      <c r="M182" s="13"/>
      <c r="N182" s="7" t="s">
        <v>3559</v>
      </c>
      <c r="O182" s="13" t="s">
        <v>646</v>
      </c>
      <c r="P182" s="115"/>
      <c r="Q182" s="8"/>
      <c r="R182" s="2">
        <v>2</v>
      </c>
      <c r="S182" s="9">
        <v>1200</v>
      </c>
      <c r="T182" s="10">
        <f t="shared" si="23"/>
        <v>1200</v>
      </c>
      <c r="U182" s="9"/>
      <c r="V182" s="10">
        <f t="shared" si="24"/>
        <v>1200</v>
      </c>
      <c r="W182" s="4" t="s">
        <v>655</v>
      </c>
      <c r="X182" s="2"/>
      <c r="Y182" s="11">
        <v>8</v>
      </c>
      <c r="Z182" s="12">
        <f t="shared" si="25"/>
        <v>0</v>
      </c>
      <c r="AA182" s="4" t="s">
        <v>259</v>
      </c>
      <c r="AC182" s="176">
        <f t="shared" si="30"/>
        <v>0</v>
      </c>
      <c r="AD182"/>
    </row>
    <row r="183" spans="2:30">
      <c r="B183" s="183">
        <f t="shared" si="26"/>
        <v>5</v>
      </c>
      <c r="C183" s="107" t="str">
        <f t="shared" si="27"/>
        <v>ATK</v>
      </c>
      <c r="D183" s="2" t="s">
        <v>498</v>
      </c>
      <c r="E183" s="3">
        <v>43853</v>
      </c>
      <c r="F183" s="3">
        <v>43858</v>
      </c>
      <c r="G183" s="108">
        <f t="shared" si="28"/>
        <v>1</v>
      </c>
      <c r="H183" s="108" t="str">
        <f t="shared" si="29"/>
        <v>완료</v>
      </c>
      <c r="I183" s="112" t="s">
        <v>218</v>
      </c>
      <c r="J183" s="4" t="s">
        <v>499</v>
      </c>
      <c r="K183" s="5" t="s">
        <v>499</v>
      </c>
      <c r="L183" s="6" t="str">
        <f t="shared" si="22"/>
        <v>QA</v>
      </c>
      <c r="M183" s="13" t="s">
        <v>647</v>
      </c>
      <c r="N183" s="7" t="s">
        <v>3566</v>
      </c>
      <c r="O183" s="13" t="s">
        <v>648</v>
      </c>
      <c r="P183" s="115" t="s">
        <v>650</v>
      </c>
      <c r="Q183" s="8"/>
      <c r="R183" s="2">
        <v>1</v>
      </c>
      <c r="S183" s="9">
        <v>780</v>
      </c>
      <c r="T183" s="10">
        <f t="shared" si="23"/>
        <v>390</v>
      </c>
      <c r="U183" s="9">
        <v>0</v>
      </c>
      <c r="V183" s="10">
        <f t="shared" si="24"/>
        <v>390</v>
      </c>
      <c r="W183" s="4" t="s">
        <v>122</v>
      </c>
      <c r="X183" s="2"/>
      <c r="Y183" s="11">
        <v>3</v>
      </c>
      <c r="Z183" s="12">
        <f t="shared" si="25"/>
        <v>5</v>
      </c>
      <c r="AA183" s="4" t="s">
        <v>120</v>
      </c>
      <c r="AC183" s="176">
        <f t="shared" si="30"/>
        <v>0</v>
      </c>
      <c r="AD183"/>
    </row>
    <row r="184" spans="2:30">
      <c r="B184" s="183">
        <f t="shared" si="26"/>
        <v>5</v>
      </c>
      <c r="C184" s="107" t="str">
        <f t="shared" si="27"/>
        <v>ATK</v>
      </c>
      <c r="D184" s="2" t="s">
        <v>498</v>
      </c>
      <c r="E184" s="3">
        <v>43853</v>
      </c>
      <c r="F184" s="3">
        <v>43858</v>
      </c>
      <c r="G184" s="108">
        <f t="shared" si="28"/>
        <v>1</v>
      </c>
      <c r="H184" s="108" t="str">
        <f t="shared" si="29"/>
        <v>완료</v>
      </c>
      <c r="I184" s="112" t="s">
        <v>218</v>
      </c>
      <c r="J184" s="4" t="s">
        <v>499</v>
      </c>
      <c r="K184" s="5" t="s">
        <v>499</v>
      </c>
      <c r="L184" s="6" t="str">
        <f t="shared" si="22"/>
        <v>QA</v>
      </c>
      <c r="M184" s="13" t="s">
        <v>647</v>
      </c>
      <c r="N184" s="7" t="s">
        <v>3566</v>
      </c>
      <c r="O184" s="13" t="s">
        <v>649</v>
      </c>
      <c r="P184" s="115" t="s">
        <v>651</v>
      </c>
      <c r="Q184" s="8"/>
      <c r="R184" s="2">
        <v>1</v>
      </c>
      <c r="S184" s="9">
        <v>780</v>
      </c>
      <c r="T184" s="10">
        <f t="shared" si="23"/>
        <v>390</v>
      </c>
      <c r="U184" s="9">
        <v>2</v>
      </c>
      <c r="V184" s="10">
        <f t="shared" si="24"/>
        <v>388</v>
      </c>
      <c r="W184" s="4" t="s">
        <v>122</v>
      </c>
      <c r="X184" s="2"/>
      <c r="Y184" s="11">
        <v>3</v>
      </c>
      <c r="Z184" s="12">
        <f t="shared" si="25"/>
        <v>5</v>
      </c>
      <c r="AA184" s="4" t="s">
        <v>120</v>
      </c>
      <c r="AC184" s="176">
        <f t="shared" si="30"/>
        <v>1.8181818181818182E-3</v>
      </c>
      <c r="AD184"/>
    </row>
    <row r="185" spans="2:30">
      <c r="B185" s="183">
        <f t="shared" si="26"/>
        <v>5</v>
      </c>
      <c r="C185" s="107" t="str">
        <f t="shared" si="27"/>
        <v>ATK</v>
      </c>
      <c r="D185" s="2" t="s">
        <v>652</v>
      </c>
      <c r="E185" s="3">
        <v>43858</v>
      </c>
      <c r="F185" s="3">
        <v>43858</v>
      </c>
      <c r="G185" s="108">
        <f t="shared" si="28"/>
        <v>1</v>
      </c>
      <c r="H185" s="108" t="str">
        <f t="shared" si="29"/>
        <v>완료</v>
      </c>
      <c r="I185" s="112" t="s">
        <v>218</v>
      </c>
      <c r="J185" s="4" t="s">
        <v>118</v>
      </c>
      <c r="K185" s="5" t="s">
        <v>119</v>
      </c>
      <c r="L185" s="6" t="str">
        <f t="shared" si="22"/>
        <v>2T3</v>
      </c>
      <c r="M185" s="13" t="s">
        <v>256</v>
      </c>
      <c r="N185" s="7" t="s">
        <v>3529</v>
      </c>
      <c r="O185" s="13" t="s">
        <v>478</v>
      </c>
      <c r="P185" s="115" t="s">
        <v>653</v>
      </c>
      <c r="Q185" s="8"/>
      <c r="R185" s="2">
        <v>1</v>
      </c>
      <c r="S185" s="9">
        <v>1600</v>
      </c>
      <c r="T185" s="10">
        <f t="shared" si="23"/>
        <v>800</v>
      </c>
      <c r="U185" s="9">
        <v>50</v>
      </c>
      <c r="V185" s="10">
        <f t="shared" si="24"/>
        <v>750</v>
      </c>
      <c r="W185" s="4" t="s">
        <v>122</v>
      </c>
      <c r="X185" s="2"/>
      <c r="Y185" s="11">
        <v>3</v>
      </c>
      <c r="Z185" s="12">
        <f t="shared" si="25"/>
        <v>0</v>
      </c>
      <c r="AA185" s="4" t="s">
        <v>27</v>
      </c>
      <c r="AC185" s="176">
        <f t="shared" si="30"/>
        <v>4.5454545454545456E-2</v>
      </c>
      <c r="AD185"/>
    </row>
    <row r="186" spans="2:30">
      <c r="B186" s="183">
        <f t="shared" si="26"/>
        <v>5</v>
      </c>
      <c r="C186" s="107" t="str">
        <f t="shared" si="27"/>
        <v>ATK</v>
      </c>
      <c r="D186" s="2" t="s">
        <v>312</v>
      </c>
      <c r="E186" s="3">
        <v>43853</v>
      </c>
      <c r="F186" s="3">
        <v>43859</v>
      </c>
      <c r="G186" s="108">
        <f t="shared" si="28"/>
        <v>1</v>
      </c>
      <c r="H186" s="108" t="str">
        <f t="shared" si="29"/>
        <v>완료</v>
      </c>
      <c r="I186" s="112" t="s">
        <v>218</v>
      </c>
      <c r="J186" s="4" t="s">
        <v>118</v>
      </c>
      <c r="K186" s="5" t="s">
        <v>119</v>
      </c>
      <c r="L186" s="6" t="str">
        <f t="shared" si="22"/>
        <v>2T3</v>
      </c>
      <c r="M186" s="13" t="s">
        <v>256</v>
      </c>
      <c r="N186" s="7" t="s">
        <v>3529</v>
      </c>
      <c r="O186" s="13" t="s">
        <v>602</v>
      </c>
      <c r="P186" s="115" t="s">
        <v>330</v>
      </c>
      <c r="Q186" s="8"/>
      <c r="R186" s="2">
        <v>1</v>
      </c>
      <c r="S186" s="9">
        <v>4500</v>
      </c>
      <c r="T186" s="10">
        <f t="shared" si="23"/>
        <v>2250</v>
      </c>
      <c r="U186" s="9">
        <v>10</v>
      </c>
      <c r="V186" s="10">
        <f t="shared" si="24"/>
        <v>2240</v>
      </c>
      <c r="W186" s="4" t="s">
        <v>122</v>
      </c>
      <c r="X186" s="2"/>
      <c r="Y186" s="11">
        <v>6</v>
      </c>
      <c r="Z186" s="12">
        <f t="shared" si="25"/>
        <v>6</v>
      </c>
      <c r="AA186" s="4" t="s">
        <v>27</v>
      </c>
      <c r="AC186" s="176">
        <f t="shared" si="30"/>
        <v>9.0909090909090905E-3</v>
      </c>
      <c r="AD186"/>
    </row>
    <row r="187" spans="2:30">
      <c r="B187" s="183">
        <f t="shared" si="26"/>
        <v>5</v>
      </c>
      <c r="C187" s="107" t="str">
        <f t="shared" si="27"/>
        <v>ATK</v>
      </c>
      <c r="D187" s="2" t="s">
        <v>382</v>
      </c>
      <c r="E187" s="3">
        <v>43851</v>
      </c>
      <c r="F187" s="3">
        <v>43859</v>
      </c>
      <c r="G187" s="108">
        <f t="shared" si="28"/>
        <v>1</v>
      </c>
      <c r="H187" s="108" t="str">
        <f t="shared" si="29"/>
        <v>완료</v>
      </c>
      <c r="I187" s="112" t="s">
        <v>264</v>
      </c>
      <c r="J187" s="4" t="s">
        <v>547</v>
      </c>
      <c r="K187" s="5" t="s">
        <v>548</v>
      </c>
      <c r="L187" s="6" t="str">
        <f t="shared" si="22"/>
        <v>6T2</v>
      </c>
      <c r="M187" s="13" t="s">
        <v>213</v>
      </c>
      <c r="N187" s="13" t="s">
        <v>3567</v>
      </c>
      <c r="O187" s="13" t="s">
        <v>339</v>
      </c>
      <c r="P187" s="115" t="s">
        <v>567</v>
      </c>
      <c r="Q187" s="8" t="s">
        <v>657</v>
      </c>
      <c r="R187" s="2">
        <v>1</v>
      </c>
      <c r="S187" s="9">
        <v>2500</v>
      </c>
      <c r="T187" s="10">
        <f t="shared" si="23"/>
        <v>1250</v>
      </c>
      <c r="U187" s="9">
        <v>5</v>
      </c>
      <c r="V187" s="10">
        <f t="shared" si="24"/>
        <v>1245</v>
      </c>
      <c r="W187" s="4" t="s">
        <v>249</v>
      </c>
      <c r="X187" s="2"/>
      <c r="Y187" s="11">
        <v>4</v>
      </c>
      <c r="Z187" s="12">
        <f t="shared" si="25"/>
        <v>8</v>
      </c>
      <c r="AA187" s="4" t="s">
        <v>174</v>
      </c>
      <c r="AC187" s="176">
        <f t="shared" si="30"/>
        <v>4.5454545454545452E-3</v>
      </c>
      <c r="AD187"/>
    </row>
    <row r="188" spans="2:30">
      <c r="B188" s="183">
        <f t="shared" si="26"/>
        <v>5</v>
      </c>
      <c r="C188" s="107" t="str">
        <f t="shared" si="27"/>
        <v>ATK</v>
      </c>
      <c r="D188" s="2" t="s">
        <v>620</v>
      </c>
      <c r="E188" s="3">
        <v>43859</v>
      </c>
      <c r="F188" s="3">
        <v>43859</v>
      </c>
      <c r="G188" s="108">
        <f t="shared" si="28"/>
        <v>1</v>
      </c>
      <c r="H188" s="108" t="str">
        <f t="shared" si="29"/>
        <v>Other</v>
      </c>
      <c r="I188" s="112" t="s">
        <v>660</v>
      </c>
      <c r="J188" s="4" t="s">
        <v>481</v>
      </c>
      <c r="K188" s="5" t="s">
        <v>621</v>
      </c>
      <c r="L188" s="6" t="str">
        <f t="shared" si="22"/>
        <v>2T3</v>
      </c>
      <c r="M188" s="13" t="s">
        <v>207</v>
      </c>
      <c r="N188" s="7" t="s">
        <v>3564</v>
      </c>
      <c r="O188" s="13" t="s">
        <v>658</v>
      </c>
      <c r="P188" s="115" t="s">
        <v>654</v>
      </c>
      <c r="Q188" s="8"/>
      <c r="R188" s="2">
        <v>1</v>
      </c>
      <c r="S188" s="9">
        <v>0</v>
      </c>
      <c r="T188" s="10">
        <f t="shared" si="23"/>
        <v>0</v>
      </c>
      <c r="U188" s="9">
        <v>0</v>
      </c>
      <c r="V188" s="10">
        <f t="shared" si="24"/>
        <v>0</v>
      </c>
      <c r="W188" s="4" t="s">
        <v>615</v>
      </c>
      <c r="X188" s="2"/>
      <c r="Y188" s="11">
        <v>3</v>
      </c>
      <c r="Z188" s="12">
        <f t="shared" si="25"/>
        <v>0</v>
      </c>
      <c r="AA188" s="4" t="s">
        <v>659</v>
      </c>
      <c r="AC188" s="176">
        <f t="shared" si="30"/>
        <v>0</v>
      </c>
      <c r="AD188"/>
    </row>
    <row r="189" spans="2:30">
      <c r="B189" s="183">
        <f t="shared" si="26"/>
        <v>5</v>
      </c>
      <c r="C189" s="107" t="str">
        <f t="shared" si="27"/>
        <v>ATK</v>
      </c>
      <c r="D189" s="2" t="s">
        <v>661</v>
      </c>
      <c r="E189" s="3">
        <v>43859</v>
      </c>
      <c r="F189" s="3">
        <v>43859</v>
      </c>
      <c r="G189" s="108">
        <f t="shared" si="28"/>
        <v>1</v>
      </c>
      <c r="H189" s="108" t="str">
        <f t="shared" si="29"/>
        <v>완료</v>
      </c>
      <c r="I189" s="112" t="s">
        <v>218</v>
      </c>
      <c r="J189" s="4" t="s">
        <v>121</v>
      </c>
      <c r="K189" s="5" t="s">
        <v>136</v>
      </c>
      <c r="L189" s="6" t="str">
        <f t="shared" si="22"/>
        <v>5T1</v>
      </c>
      <c r="M189" s="13"/>
      <c r="N189" s="7" t="s">
        <v>3568</v>
      </c>
      <c r="O189" s="13" t="s">
        <v>662</v>
      </c>
      <c r="P189" s="115"/>
      <c r="Q189" s="8"/>
      <c r="R189" s="2">
        <v>1</v>
      </c>
      <c r="S189" s="9">
        <v>1200</v>
      </c>
      <c r="T189" s="10">
        <f t="shared" si="23"/>
        <v>600</v>
      </c>
      <c r="U189" s="9"/>
      <c r="V189" s="10">
        <f t="shared" si="24"/>
        <v>600</v>
      </c>
      <c r="W189" s="4" t="s">
        <v>122</v>
      </c>
      <c r="X189" s="2"/>
      <c r="Y189" s="11">
        <v>8</v>
      </c>
      <c r="Z189" s="12">
        <f t="shared" si="25"/>
        <v>0</v>
      </c>
      <c r="AA189" s="4" t="s">
        <v>259</v>
      </c>
      <c r="AC189" s="176">
        <f t="shared" si="30"/>
        <v>0</v>
      </c>
      <c r="AD189"/>
    </row>
    <row r="190" spans="2:30">
      <c r="B190" s="183">
        <f t="shared" si="26"/>
        <v>5</v>
      </c>
      <c r="C190" s="107" t="str">
        <f t="shared" si="27"/>
        <v>ATK</v>
      </c>
      <c r="D190" s="2" t="s">
        <v>663</v>
      </c>
      <c r="E190" s="3">
        <v>43858</v>
      </c>
      <c r="F190" s="3">
        <v>43859</v>
      </c>
      <c r="G190" s="108">
        <f t="shared" si="28"/>
        <v>1</v>
      </c>
      <c r="H190" s="108" t="str">
        <f t="shared" si="29"/>
        <v>완료</v>
      </c>
      <c r="I190" s="112" t="s">
        <v>218</v>
      </c>
      <c r="J190" s="4" t="s">
        <v>132</v>
      </c>
      <c r="K190" s="5" t="s">
        <v>322</v>
      </c>
      <c r="L190" s="6" t="str">
        <f t="shared" si="22"/>
        <v>3T1</v>
      </c>
      <c r="M190" s="13" t="s">
        <v>226</v>
      </c>
      <c r="N190" s="7" t="s">
        <v>140</v>
      </c>
      <c r="O190" s="13" t="s">
        <v>374</v>
      </c>
      <c r="P190" s="115"/>
      <c r="Q190" s="8"/>
      <c r="R190" s="2">
        <v>1</v>
      </c>
      <c r="S190" s="9">
        <v>400</v>
      </c>
      <c r="T190" s="10">
        <f t="shared" si="23"/>
        <v>200</v>
      </c>
      <c r="U190" s="9">
        <v>0</v>
      </c>
      <c r="V190" s="10">
        <f t="shared" si="24"/>
        <v>200</v>
      </c>
      <c r="W190" s="4" t="s">
        <v>122</v>
      </c>
      <c r="X190" s="2"/>
      <c r="Y190" s="11">
        <v>8</v>
      </c>
      <c r="Z190" s="12">
        <f t="shared" si="25"/>
        <v>1</v>
      </c>
      <c r="AA190" s="4" t="s">
        <v>117</v>
      </c>
      <c r="AC190" s="176">
        <f t="shared" si="30"/>
        <v>0</v>
      </c>
      <c r="AD190"/>
    </row>
    <row r="191" spans="2:30">
      <c r="B191" s="183">
        <f t="shared" si="26"/>
        <v>6</v>
      </c>
      <c r="C191" s="107" t="str">
        <f t="shared" si="27"/>
        <v>ATK</v>
      </c>
      <c r="D191" s="2" t="s">
        <v>664</v>
      </c>
      <c r="E191" s="3">
        <v>43859</v>
      </c>
      <c r="F191" s="3">
        <v>43864</v>
      </c>
      <c r="G191" s="108">
        <f t="shared" si="28"/>
        <v>2</v>
      </c>
      <c r="H191" s="108" t="str">
        <f t="shared" si="29"/>
        <v>완료</v>
      </c>
      <c r="I191" s="112" t="s">
        <v>218</v>
      </c>
      <c r="J191" s="4" t="s">
        <v>808</v>
      </c>
      <c r="K191" s="5" t="s">
        <v>833</v>
      </c>
      <c r="L191" s="6" t="str">
        <f t="shared" si="22"/>
        <v>1T3</v>
      </c>
      <c r="M191" s="13" t="s">
        <v>1687</v>
      </c>
      <c r="N191" s="7" t="s">
        <v>3569</v>
      </c>
      <c r="O191" s="13" t="s">
        <v>666</v>
      </c>
      <c r="P191" s="115"/>
      <c r="Q191" s="8" t="s">
        <v>667</v>
      </c>
      <c r="R191" s="2">
        <v>1</v>
      </c>
      <c r="S191" s="9">
        <v>1500</v>
      </c>
      <c r="T191" s="10">
        <f t="shared" si="23"/>
        <v>750</v>
      </c>
      <c r="U191" s="9">
        <v>5</v>
      </c>
      <c r="V191" s="10">
        <f t="shared" si="24"/>
        <v>745</v>
      </c>
      <c r="W191" s="4" t="s">
        <v>122</v>
      </c>
      <c r="X191" s="2"/>
      <c r="Y191" s="11">
        <v>3</v>
      </c>
      <c r="Z191" s="12">
        <f t="shared" si="25"/>
        <v>5</v>
      </c>
      <c r="AA191" s="4" t="s">
        <v>117</v>
      </c>
      <c r="AC191" s="176">
        <f t="shared" si="30"/>
        <v>4.5454545454545452E-3</v>
      </c>
      <c r="AD191"/>
    </row>
    <row r="192" spans="2:30">
      <c r="B192" s="183">
        <f t="shared" si="26"/>
        <v>6</v>
      </c>
      <c r="C192" s="107" t="str">
        <f t="shared" si="27"/>
        <v>ATK</v>
      </c>
      <c r="D192" s="2" t="s">
        <v>664</v>
      </c>
      <c r="E192" s="3">
        <v>43859</v>
      </c>
      <c r="F192" s="3">
        <v>43864</v>
      </c>
      <c r="G192" s="108">
        <f t="shared" si="28"/>
        <v>2</v>
      </c>
      <c r="H192" s="108" t="str">
        <f t="shared" si="29"/>
        <v>완료</v>
      </c>
      <c r="I192" s="112" t="s">
        <v>218</v>
      </c>
      <c r="J192" s="4" t="s">
        <v>808</v>
      </c>
      <c r="K192" s="5" t="s">
        <v>833</v>
      </c>
      <c r="L192" s="6" t="str">
        <f t="shared" si="22"/>
        <v>1T3</v>
      </c>
      <c r="M192" s="13" t="s">
        <v>665</v>
      </c>
      <c r="N192" s="7" t="s">
        <v>3569</v>
      </c>
      <c r="O192" s="13" t="s">
        <v>666</v>
      </c>
      <c r="P192" s="115"/>
      <c r="Q192" s="8" t="s">
        <v>668</v>
      </c>
      <c r="R192" s="2">
        <v>1</v>
      </c>
      <c r="S192" s="9">
        <v>1500</v>
      </c>
      <c r="T192" s="10">
        <f t="shared" si="23"/>
        <v>750</v>
      </c>
      <c r="U192" s="9">
        <v>5</v>
      </c>
      <c r="V192" s="10">
        <f t="shared" si="24"/>
        <v>745</v>
      </c>
      <c r="W192" s="4" t="s">
        <v>122</v>
      </c>
      <c r="X192" s="2"/>
      <c r="Y192" s="11">
        <v>3</v>
      </c>
      <c r="Z192" s="12">
        <f t="shared" si="25"/>
        <v>5</v>
      </c>
      <c r="AA192" s="4" t="s">
        <v>117</v>
      </c>
      <c r="AC192" s="176">
        <f t="shared" si="30"/>
        <v>4.5454545454545452E-3</v>
      </c>
      <c r="AD192"/>
    </row>
    <row r="193" spans="1:29" customFormat="1">
      <c r="A193" s="181"/>
      <c r="B193" s="183">
        <f t="shared" si="26"/>
        <v>5</v>
      </c>
      <c r="C193" s="107" t="str">
        <f t="shared" si="27"/>
        <v>ATK</v>
      </c>
      <c r="D193" s="2" t="s">
        <v>272</v>
      </c>
      <c r="E193" s="3">
        <v>43859</v>
      </c>
      <c r="F193" s="3">
        <v>43860</v>
      </c>
      <c r="G193" s="108">
        <f t="shared" si="28"/>
        <v>1</v>
      </c>
      <c r="H193" s="108" t="str">
        <f t="shared" si="29"/>
        <v>완료</v>
      </c>
      <c r="I193" s="112" t="s">
        <v>218</v>
      </c>
      <c r="J193" s="4" t="s">
        <v>132</v>
      </c>
      <c r="K193" s="5" t="s">
        <v>133</v>
      </c>
      <c r="L193" s="6" t="str">
        <f t="shared" si="22"/>
        <v>3T3</v>
      </c>
      <c r="M193" s="13" t="s">
        <v>456</v>
      </c>
      <c r="N193" s="7" t="s">
        <v>3570</v>
      </c>
      <c r="O193" s="13" t="s">
        <v>671</v>
      </c>
      <c r="P193" s="115" t="s">
        <v>672</v>
      </c>
      <c r="Q193" s="8" t="s">
        <v>673</v>
      </c>
      <c r="R193" s="2">
        <v>1</v>
      </c>
      <c r="S193" s="9">
        <v>4500</v>
      </c>
      <c r="T193" s="10">
        <f t="shared" si="23"/>
        <v>2250</v>
      </c>
      <c r="U193" s="9">
        <v>35</v>
      </c>
      <c r="V193" s="10">
        <f t="shared" si="24"/>
        <v>2215</v>
      </c>
      <c r="W193" s="4" t="s">
        <v>122</v>
      </c>
      <c r="X193" s="2"/>
      <c r="Y193" s="11">
        <v>16</v>
      </c>
      <c r="Z193" s="12">
        <f t="shared" si="25"/>
        <v>1</v>
      </c>
      <c r="AA193" s="4" t="s">
        <v>120</v>
      </c>
      <c r="AC193" s="176">
        <f t="shared" si="30"/>
        <v>3.1818181818181815E-2</v>
      </c>
    </row>
    <row r="194" spans="1:29" customFormat="1">
      <c r="A194" s="181"/>
      <c r="B194" s="183">
        <f t="shared" si="26"/>
        <v>5</v>
      </c>
      <c r="C194" s="107" t="str">
        <f t="shared" si="27"/>
        <v>ATK</v>
      </c>
      <c r="D194" s="2" t="s">
        <v>272</v>
      </c>
      <c r="E194" s="3">
        <v>43802</v>
      </c>
      <c r="F194" s="3">
        <v>43860</v>
      </c>
      <c r="G194" s="108">
        <f t="shared" si="28"/>
        <v>1</v>
      </c>
      <c r="H194" s="108" t="str">
        <f t="shared" si="29"/>
        <v>완료</v>
      </c>
      <c r="I194" s="112" t="s">
        <v>218</v>
      </c>
      <c r="J194" s="4" t="s">
        <v>132</v>
      </c>
      <c r="K194" s="5" t="s">
        <v>133</v>
      </c>
      <c r="L194" s="6" t="str">
        <f t="shared" ref="L194:L257" si="31">LEFT(K194,3)</f>
        <v>3T3</v>
      </c>
      <c r="M194" s="13" t="s">
        <v>456</v>
      </c>
      <c r="N194" s="7" t="s">
        <v>3571</v>
      </c>
      <c r="O194" s="13" t="s">
        <v>671</v>
      </c>
      <c r="P194" s="115" t="s">
        <v>674</v>
      </c>
      <c r="Q194" s="8" t="s">
        <v>675</v>
      </c>
      <c r="R194" s="2">
        <v>1</v>
      </c>
      <c r="S194" s="9">
        <v>4500</v>
      </c>
      <c r="T194" s="10">
        <f t="shared" ref="T194:T257" si="32">(S194*50)/100*R194</f>
        <v>2250</v>
      </c>
      <c r="U194" s="9">
        <v>0</v>
      </c>
      <c r="V194" s="10">
        <f t="shared" ref="V194:V257" si="33">T194-U194</f>
        <v>2250</v>
      </c>
      <c r="W194" s="4" t="s">
        <v>122</v>
      </c>
      <c r="X194" s="2"/>
      <c r="Y194" s="11">
        <v>8</v>
      </c>
      <c r="Z194" s="12">
        <f t="shared" ref="Z194:Z257" si="34">F194-E194</f>
        <v>58</v>
      </c>
      <c r="AA194" s="4" t="s">
        <v>120</v>
      </c>
      <c r="AC194" s="176">
        <f t="shared" ref="AC194:AC257" si="35">U194/1100</f>
        <v>0</v>
      </c>
    </row>
    <row r="195" spans="1:29" customFormat="1">
      <c r="A195" s="181"/>
      <c r="B195" s="183">
        <f t="shared" ref="B195:B258" si="36">IF(F195&gt;0,IFERROR(WEEKNUM(F195),""),"")</f>
        <v>5</v>
      </c>
      <c r="C195" s="107" t="str">
        <f t="shared" ref="C195:C258" si="37">IF(D195=0,"",(IF(LEFT(D195,3)="ATK","ATK",IF(LEFT(D195,2)="AT",D195,"ATK"))))</f>
        <v>ATK</v>
      </c>
      <c r="D195" s="2" t="s">
        <v>620</v>
      </c>
      <c r="E195" s="3">
        <v>43859</v>
      </c>
      <c r="F195" s="3">
        <v>43860</v>
      </c>
      <c r="G195" s="108">
        <f t="shared" ref="G195:G258" si="38">IF(F195&gt;0,MONTH(F195),"")</f>
        <v>1</v>
      </c>
      <c r="H195" s="108" t="str">
        <f t="shared" ref="H195:H258" si="39">IF(I195=0,"",IF(RIGHT(I195,2)="완료","완료",IF(RIGHT(I195,2)="불가","수리불가",IF(RIGHT(I195,1)="중","수리중","Other"))))</f>
        <v>완료</v>
      </c>
      <c r="I195" s="112" t="s">
        <v>264</v>
      </c>
      <c r="J195" s="4" t="s">
        <v>481</v>
      </c>
      <c r="K195" s="5" t="s">
        <v>621</v>
      </c>
      <c r="L195" s="6" t="str">
        <f t="shared" si="31"/>
        <v>2T3</v>
      </c>
      <c r="M195" s="13" t="s">
        <v>207</v>
      </c>
      <c r="N195" s="7" t="s">
        <v>3564</v>
      </c>
      <c r="O195" s="13" t="s">
        <v>658</v>
      </c>
      <c r="P195" s="115" t="s">
        <v>676</v>
      </c>
      <c r="Q195" s="8"/>
      <c r="R195" s="2">
        <v>1</v>
      </c>
      <c r="S195" s="9">
        <v>500</v>
      </c>
      <c r="T195" s="10">
        <f t="shared" si="32"/>
        <v>250</v>
      </c>
      <c r="U195" s="9">
        <v>50</v>
      </c>
      <c r="V195" s="10">
        <f t="shared" si="33"/>
        <v>200</v>
      </c>
      <c r="W195" s="4" t="s">
        <v>249</v>
      </c>
      <c r="X195" s="2"/>
      <c r="Y195" s="11">
        <v>3</v>
      </c>
      <c r="Z195" s="12">
        <f t="shared" si="34"/>
        <v>1</v>
      </c>
      <c r="AA195" s="4" t="s">
        <v>174</v>
      </c>
      <c r="AC195" s="176">
        <f t="shared" si="35"/>
        <v>4.5454545454545456E-2</v>
      </c>
    </row>
    <row r="196" spans="1:29" customFormat="1">
      <c r="A196" s="181"/>
      <c r="B196" s="183">
        <f t="shared" si="36"/>
        <v>5</v>
      </c>
      <c r="C196" s="107" t="str">
        <f t="shared" si="37"/>
        <v>ATK</v>
      </c>
      <c r="D196" s="2" t="s">
        <v>677</v>
      </c>
      <c r="E196" s="3">
        <v>43859</v>
      </c>
      <c r="F196" s="3">
        <v>43860</v>
      </c>
      <c r="G196" s="108">
        <f t="shared" si="38"/>
        <v>1</v>
      </c>
      <c r="H196" s="108" t="str">
        <f t="shared" si="39"/>
        <v>완료</v>
      </c>
      <c r="I196" s="112" t="s">
        <v>678</v>
      </c>
      <c r="J196" s="4" t="s">
        <v>679</v>
      </c>
      <c r="K196" s="5" t="s">
        <v>548</v>
      </c>
      <c r="L196" s="6" t="str">
        <f t="shared" si="31"/>
        <v>6T2</v>
      </c>
      <c r="M196" s="13" t="s">
        <v>207</v>
      </c>
      <c r="N196" s="7" t="s">
        <v>3572</v>
      </c>
      <c r="O196" s="13" t="s">
        <v>339</v>
      </c>
      <c r="P196" s="115" t="s">
        <v>680</v>
      </c>
      <c r="Q196" s="8"/>
      <c r="R196" s="2">
        <v>1</v>
      </c>
      <c r="S196" s="9">
        <v>2000</v>
      </c>
      <c r="T196" s="10">
        <f t="shared" si="32"/>
        <v>1000</v>
      </c>
      <c r="U196" s="9">
        <v>200</v>
      </c>
      <c r="V196" s="10">
        <f t="shared" si="33"/>
        <v>800</v>
      </c>
      <c r="W196" s="4" t="s">
        <v>681</v>
      </c>
      <c r="X196" s="2"/>
      <c r="Y196" s="11">
        <v>3</v>
      </c>
      <c r="Z196" s="12">
        <f t="shared" si="34"/>
        <v>1</v>
      </c>
      <c r="AA196" s="4" t="s">
        <v>682</v>
      </c>
      <c r="AC196" s="176">
        <f t="shared" si="35"/>
        <v>0.18181818181818182</v>
      </c>
    </row>
    <row r="197" spans="1:29" customFormat="1">
      <c r="A197" s="181"/>
      <c r="B197" s="183">
        <f t="shared" si="36"/>
        <v>5</v>
      </c>
      <c r="C197" s="107" t="str">
        <f t="shared" si="37"/>
        <v>ATK</v>
      </c>
      <c r="D197" s="2" t="s">
        <v>255</v>
      </c>
      <c r="E197" s="3">
        <v>43860</v>
      </c>
      <c r="F197" s="3">
        <v>43860</v>
      </c>
      <c r="G197" s="108">
        <f t="shared" si="38"/>
        <v>1</v>
      </c>
      <c r="H197" s="108" t="str">
        <f t="shared" si="39"/>
        <v>완료</v>
      </c>
      <c r="I197" s="112" t="s">
        <v>264</v>
      </c>
      <c r="J197" s="4" t="s">
        <v>127</v>
      </c>
      <c r="K197" s="5" t="s">
        <v>135</v>
      </c>
      <c r="L197" s="6" t="str">
        <f t="shared" si="31"/>
        <v>1T3</v>
      </c>
      <c r="M197" s="13" t="s">
        <v>256</v>
      </c>
      <c r="N197" s="13" t="s">
        <v>3529</v>
      </c>
      <c r="O197" s="7" t="s">
        <v>683</v>
      </c>
      <c r="P197" s="115" t="s">
        <v>684</v>
      </c>
      <c r="Q197" s="8"/>
      <c r="R197" s="2">
        <v>1</v>
      </c>
      <c r="S197" s="9">
        <v>3500</v>
      </c>
      <c r="T197" s="10">
        <f t="shared" si="32"/>
        <v>1750</v>
      </c>
      <c r="U197" s="9">
        <v>10</v>
      </c>
      <c r="V197" s="10">
        <f t="shared" si="33"/>
        <v>1740</v>
      </c>
      <c r="W197" s="4" t="s">
        <v>122</v>
      </c>
      <c r="X197" s="2"/>
      <c r="Y197" s="11">
        <v>4</v>
      </c>
      <c r="Z197" s="12">
        <f t="shared" si="34"/>
        <v>0</v>
      </c>
      <c r="AA197" s="4" t="s">
        <v>130</v>
      </c>
      <c r="AC197" s="176">
        <f t="shared" si="35"/>
        <v>9.0909090909090905E-3</v>
      </c>
    </row>
    <row r="198" spans="1:29" customFormat="1" ht="24">
      <c r="A198" s="181"/>
      <c r="B198" s="183">
        <f t="shared" si="36"/>
        <v>5</v>
      </c>
      <c r="C198" s="107" t="str">
        <f t="shared" si="37"/>
        <v>ATK</v>
      </c>
      <c r="D198" s="2" t="s">
        <v>709</v>
      </c>
      <c r="E198" s="3">
        <v>43860</v>
      </c>
      <c r="F198" s="3">
        <v>43860</v>
      </c>
      <c r="G198" s="108">
        <f t="shared" si="38"/>
        <v>1</v>
      </c>
      <c r="H198" s="108" t="str">
        <f t="shared" si="39"/>
        <v>완료</v>
      </c>
      <c r="I198" s="112" t="s">
        <v>218</v>
      </c>
      <c r="J198" s="4" t="s">
        <v>132</v>
      </c>
      <c r="K198" s="5" t="s">
        <v>322</v>
      </c>
      <c r="L198" s="6" t="str">
        <f t="shared" si="31"/>
        <v>3T1</v>
      </c>
      <c r="M198" s="13" t="s">
        <v>456</v>
      </c>
      <c r="N198" s="7" t="s">
        <v>3573</v>
      </c>
      <c r="O198" s="13" t="s">
        <v>685</v>
      </c>
      <c r="P198" s="115" t="s">
        <v>686</v>
      </c>
      <c r="Q198" s="8"/>
      <c r="R198" s="2">
        <v>1</v>
      </c>
      <c r="S198" s="9">
        <v>1000</v>
      </c>
      <c r="T198" s="10">
        <f t="shared" si="32"/>
        <v>500</v>
      </c>
      <c r="U198" s="9"/>
      <c r="V198" s="10">
        <f t="shared" si="33"/>
        <v>500</v>
      </c>
      <c r="W198" s="4" t="s">
        <v>122</v>
      </c>
      <c r="X198" s="2"/>
      <c r="Y198" s="11">
        <v>7</v>
      </c>
      <c r="Z198" s="12">
        <f t="shared" si="34"/>
        <v>0</v>
      </c>
      <c r="AA198" s="4" t="s">
        <v>212</v>
      </c>
      <c r="AC198" s="176">
        <f t="shared" si="35"/>
        <v>0</v>
      </c>
    </row>
    <row r="199" spans="1:29" customFormat="1">
      <c r="A199" s="181"/>
      <c r="B199" s="183">
        <f t="shared" si="36"/>
        <v>5</v>
      </c>
      <c r="C199" s="107" t="str">
        <f t="shared" si="37"/>
        <v>ATK</v>
      </c>
      <c r="D199" s="2" t="s">
        <v>687</v>
      </c>
      <c r="E199" s="3">
        <v>43860</v>
      </c>
      <c r="F199" s="3">
        <v>43860</v>
      </c>
      <c r="G199" s="108">
        <f t="shared" si="38"/>
        <v>1</v>
      </c>
      <c r="H199" s="108" t="str">
        <f t="shared" si="39"/>
        <v>완료</v>
      </c>
      <c r="I199" s="112" t="s">
        <v>218</v>
      </c>
      <c r="J199" s="4" t="s">
        <v>115</v>
      </c>
      <c r="K199" s="5" t="s">
        <v>138</v>
      </c>
      <c r="L199" s="6" t="str">
        <f t="shared" si="31"/>
        <v>EE1</v>
      </c>
      <c r="M199" s="13"/>
      <c r="N199" s="7" t="s">
        <v>3574</v>
      </c>
      <c r="O199" s="13" t="s">
        <v>688</v>
      </c>
      <c r="P199" s="115" t="s">
        <v>689</v>
      </c>
      <c r="Q199" s="8"/>
      <c r="R199" s="2">
        <v>1</v>
      </c>
      <c r="S199" s="9">
        <v>1200</v>
      </c>
      <c r="T199" s="10">
        <f t="shared" si="32"/>
        <v>600</v>
      </c>
      <c r="U199" s="9"/>
      <c r="V199" s="10">
        <f t="shared" si="33"/>
        <v>600</v>
      </c>
      <c r="W199" s="4" t="s">
        <v>122</v>
      </c>
      <c r="X199" s="2"/>
      <c r="Y199" s="11">
        <v>7</v>
      </c>
      <c r="Z199" s="12">
        <f t="shared" si="34"/>
        <v>0</v>
      </c>
      <c r="AA199" s="4" t="s">
        <v>259</v>
      </c>
      <c r="AC199" s="176">
        <f t="shared" si="35"/>
        <v>0</v>
      </c>
    </row>
    <row r="200" spans="1:29" customFormat="1">
      <c r="A200" s="181"/>
      <c r="B200" s="183">
        <f t="shared" si="36"/>
        <v>5</v>
      </c>
      <c r="C200" s="107" t="str">
        <f t="shared" si="37"/>
        <v>ATK</v>
      </c>
      <c r="D200" s="2" t="s">
        <v>692</v>
      </c>
      <c r="E200" s="3">
        <v>43860</v>
      </c>
      <c r="F200" s="3">
        <v>43860</v>
      </c>
      <c r="G200" s="108">
        <f t="shared" si="38"/>
        <v>1</v>
      </c>
      <c r="H200" s="108" t="str">
        <f t="shared" si="39"/>
        <v>완료</v>
      </c>
      <c r="I200" s="112" t="s">
        <v>218</v>
      </c>
      <c r="J200" s="4" t="s">
        <v>118</v>
      </c>
      <c r="K200" s="5" t="s">
        <v>134</v>
      </c>
      <c r="L200" s="6" t="str">
        <f t="shared" si="31"/>
        <v>2T1</v>
      </c>
      <c r="M200" s="13"/>
      <c r="N200" s="7" t="s">
        <v>3575</v>
      </c>
      <c r="O200" s="13" t="s">
        <v>691</v>
      </c>
      <c r="P200" s="115" t="s">
        <v>690</v>
      </c>
      <c r="Q200" s="8"/>
      <c r="R200" s="2">
        <v>1</v>
      </c>
      <c r="S200" s="9">
        <v>600</v>
      </c>
      <c r="T200" s="10">
        <f t="shared" si="32"/>
        <v>300</v>
      </c>
      <c r="U200" s="9"/>
      <c r="V200" s="10">
        <f t="shared" si="33"/>
        <v>300</v>
      </c>
      <c r="W200" s="4" t="s">
        <v>122</v>
      </c>
      <c r="X200" s="2"/>
      <c r="Y200" s="11">
        <v>1</v>
      </c>
      <c r="Z200" s="12">
        <f t="shared" si="34"/>
        <v>0</v>
      </c>
      <c r="AA200" s="4" t="s">
        <v>259</v>
      </c>
      <c r="AC200" s="176">
        <f t="shared" si="35"/>
        <v>0</v>
      </c>
    </row>
    <row r="201" spans="1:29" customFormat="1">
      <c r="A201" s="181"/>
      <c r="B201" s="183">
        <f t="shared" si="36"/>
        <v>6</v>
      </c>
      <c r="C201" s="107" t="str">
        <f t="shared" si="37"/>
        <v>ATK</v>
      </c>
      <c r="D201" s="2" t="s">
        <v>255</v>
      </c>
      <c r="E201" s="3">
        <v>43850</v>
      </c>
      <c r="F201" s="3">
        <v>43865</v>
      </c>
      <c r="G201" s="108">
        <f t="shared" si="38"/>
        <v>2</v>
      </c>
      <c r="H201" s="108" t="str">
        <f t="shared" si="39"/>
        <v>완료</v>
      </c>
      <c r="I201" s="112" t="s">
        <v>218</v>
      </c>
      <c r="J201" s="4" t="s">
        <v>127</v>
      </c>
      <c r="K201" s="5" t="s">
        <v>135</v>
      </c>
      <c r="L201" s="6" t="str">
        <f t="shared" si="31"/>
        <v>1T3</v>
      </c>
      <c r="M201" s="13" t="s">
        <v>256</v>
      </c>
      <c r="N201" s="7" t="s">
        <v>3529</v>
      </c>
      <c r="O201" s="13" t="s">
        <v>370</v>
      </c>
      <c r="P201" s="115" t="s">
        <v>693</v>
      </c>
      <c r="Q201" s="8"/>
      <c r="R201" s="2">
        <v>1</v>
      </c>
      <c r="S201" s="9">
        <v>2200</v>
      </c>
      <c r="T201" s="10">
        <f t="shared" si="32"/>
        <v>1100</v>
      </c>
      <c r="U201" s="9">
        <v>1</v>
      </c>
      <c r="V201" s="10">
        <f t="shared" si="33"/>
        <v>1099</v>
      </c>
      <c r="W201" s="4" t="s">
        <v>122</v>
      </c>
      <c r="X201" s="2"/>
      <c r="Y201" s="11">
        <v>1</v>
      </c>
      <c r="Z201" s="12">
        <f t="shared" si="34"/>
        <v>15</v>
      </c>
      <c r="AA201" s="4" t="s">
        <v>117</v>
      </c>
      <c r="AC201" s="176">
        <f t="shared" si="35"/>
        <v>9.0909090909090909E-4</v>
      </c>
    </row>
    <row r="202" spans="1:29" customFormat="1">
      <c r="A202" s="181"/>
      <c r="B202" s="183">
        <f t="shared" si="36"/>
        <v>5</v>
      </c>
      <c r="C202" s="107" t="str">
        <f t="shared" si="37"/>
        <v>ATK</v>
      </c>
      <c r="D202" s="2" t="s">
        <v>480</v>
      </c>
      <c r="E202" s="3">
        <v>43850</v>
      </c>
      <c r="F202" s="3">
        <v>43860</v>
      </c>
      <c r="G202" s="108">
        <f t="shared" si="38"/>
        <v>1</v>
      </c>
      <c r="H202" s="108" t="str">
        <f t="shared" si="39"/>
        <v>완료</v>
      </c>
      <c r="I202" s="112" t="s">
        <v>218</v>
      </c>
      <c r="J202" s="4" t="s">
        <v>694</v>
      </c>
      <c r="K202" s="5" t="s">
        <v>695</v>
      </c>
      <c r="L202" s="6" t="str">
        <f t="shared" si="31"/>
        <v>2T2</v>
      </c>
      <c r="M202" s="13" t="s">
        <v>256</v>
      </c>
      <c r="N202" s="13" t="s">
        <v>3529</v>
      </c>
      <c r="O202" s="13" t="s">
        <v>482</v>
      </c>
      <c r="P202" s="115" t="s">
        <v>696</v>
      </c>
      <c r="Q202" s="8"/>
      <c r="R202" s="2">
        <v>1</v>
      </c>
      <c r="S202" s="9">
        <v>1600</v>
      </c>
      <c r="T202" s="10">
        <f t="shared" si="32"/>
        <v>800</v>
      </c>
      <c r="U202" s="9">
        <v>25</v>
      </c>
      <c r="V202" s="10">
        <f t="shared" si="33"/>
        <v>775</v>
      </c>
      <c r="W202" s="4" t="s">
        <v>122</v>
      </c>
      <c r="X202" s="2"/>
      <c r="Y202" s="11">
        <v>2</v>
      </c>
      <c r="Z202" s="12">
        <f t="shared" si="34"/>
        <v>10</v>
      </c>
      <c r="AA202" s="4" t="s">
        <v>697</v>
      </c>
      <c r="AC202" s="176">
        <f t="shared" si="35"/>
        <v>2.2727272727272728E-2</v>
      </c>
    </row>
    <row r="203" spans="1:29" customFormat="1">
      <c r="A203" s="181"/>
      <c r="B203" s="183">
        <f t="shared" si="36"/>
        <v>5</v>
      </c>
      <c r="C203" s="107" t="str">
        <f t="shared" si="37"/>
        <v>ATK</v>
      </c>
      <c r="D203" s="2" t="s">
        <v>698</v>
      </c>
      <c r="E203" s="3">
        <v>43860</v>
      </c>
      <c r="F203" s="3">
        <v>43860</v>
      </c>
      <c r="G203" s="108">
        <f t="shared" si="38"/>
        <v>1</v>
      </c>
      <c r="H203" s="108" t="str">
        <f t="shared" si="39"/>
        <v>완료</v>
      </c>
      <c r="I203" s="112" t="s">
        <v>218</v>
      </c>
      <c r="J203" s="4" t="s">
        <v>132</v>
      </c>
      <c r="K203" s="5" t="s">
        <v>322</v>
      </c>
      <c r="L203" s="6" t="str">
        <f t="shared" si="31"/>
        <v>3T1</v>
      </c>
      <c r="M203" s="13" t="s">
        <v>699</v>
      </c>
      <c r="N203" s="7" t="s">
        <v>3576</v>
      </c>
      <c r="O203" s="13" t="s">
        <v>700</v>
      </c>
      <c r="P203" s="115" t="s">
        <v>701</v>
      </c>
      <c r="Q203" s="8"/>
      <c r="R203" s="2">
        <v>1</v>
      </c>
      <c r="S203" s="9">
        <v>2500</v>
      </c>
      <c r="T203" s="10">
        <f t="shared" si="32"/>
        <v>1250</v>
      </c>
      <c r="U203" s="9">
        <v>1</v>
      </c>
      <c r="V203" s="10">
        <f t="shared" si="33"/>
        <v>1249</v>
      </c>
      <c r="W203" s="4" t="s">
        <v>122</v>
      </c>
      <c r="X203" s="2"/>
      <c r="Y203" s="11">
        <v>1</v>
      </c>
      <c r="Z203" s="12">
        <f t="shared" si="34"/>
        <v>0</v>
      </c>
      <c r="AA203" s="4" t="s">
        <v>117</v>
      </c>
      <c r="AC203" s="176">
        <f t="shared" si="35"/>
        <v>9.0909090909090909E-4</v>
      </c>
    </row>
    <row r="204" spans="1:29" customFormat="1">
      <c r="A204" s="181"/>
      <c r="B204" s="183">
        <f t="shared" si="36"/>
        <v>5</v>
      </c>
      <c r="C204" s="107" t="str">
        <f t="shared" si="37"/>
        <v>ATK</v>
      </c>
      <c r="D204" s="2" t="s">
        <v>379</v>
      </c>
      <c r="E204" s="3">
        <v>43814</v>
      </c>
      <c r="F204" s="3">
        <v>43861</v>
      </c>
      <c r="G204" s="108">
        <f t="shared" si="38"/>
        <v>1</v>
      </c>
      <c r="H204" s="108" t="str">
        <f t="shared" si="39"/>
        <v>완료</v>
      </c>
      <c r="I204" s="112" t="s">
        <v>218</v>
      </c>
      <c r="J204" s="4" t="s">
        <v>132</v>
      </c>
      <c r="K204" s="5" t="s">
        <v>322</v>
      </c>
      <c r="L204" s="6" t="str">
        <f t="shared" si="31"/>
        <v>3T1</v>
      </c>
      <c r="M204" s="13" t="s">
        <v>702</v>
      </c>
      <c r="N204" s="7" t="s">
        <v>3577</v>
      </c>
      <c r="O204" s="13" t="s">
        <v>543</v>
      </c>
      <c r="P204" s="115" t="s">
        <v>703</v>
      </c>
      <c r="Q204" s="8"/>
      <c r="R204" s="2">
        <v>1</v>
      </c>
      <c r="S204" s="9">
        <v>4000</v>
      </c>
      <c r="T204" s="10">
        <f t="shared" si="32"/>
        <v>2000</v>
      </c>
      <c r="U204" s="9">
        <v>5</v>
      </c>
      <c r="V204" s="10">
        <f t="shared" si="33"/>
        <v>1995</v>
      </c>
      <c r="W204" s="4" t="s">
        <v>122</v>
      </c>
      <c r="X204" s="2"/>
      <c r="Y204" s="11">
        <v>3</v>
      </c>
      <c r="Z204" s="12">
        <f t="shared" si="34"/>
        <v>47</v>
      </c>
      <c r="AA204" s="4" t="s">
        <v>120</v>
      </c>
      <c r="AC204" s="176">
        <f t="shared" si="35"/>
        <v>4.5454545454545452E-3</v>
      </c>
    </row>
    <row r="205" spans="1:29" customFormat="1">
      <c r="A205" s="181"/>
      <c r="B205" s="183">
        <f t="shared" si="36"/>
        <v>5</v>
      </c>
      <c r="C205" s="107" t="str">
        <f t="shared" si="37"/>
        <v>ATK</v>
      </c>
      <c r="D205" s="2" t="s">
        <v>704</v>
      </c>
      <c r="E205" s="3">
        <v>43861</v>
      </c>
      <c r="F205" s="3">
        <v>43861</v>
      </c>
      <c r="G205" s="108">
        <f t="shared" si="38"/>
        <v>1</v>
      </c>
      <c r="H205" s="108" t="str">
        <f t="shared" si="39"/>
        <v>완료</v>
      </c>
      <c r="I205" s="112" t="s">
        <v>218</v>
      </c>
      <c r="J205" s="4" t="s">
        <v>127</v>
      </c>
      <c r="K205" s="5" t="s">
        <v>131</v>
      </c>
      <c r="L205" s="6" t="str">
        <f t="shared" si="31"/>
        <v>1T4</v>
      </c>
      <c r="M205" s="13" t="s">
        <v>705</v>
      </c>
      <c r="N205" s="7"/>
      <c r="O205" s="13" t="s">
        <v>708</v>
      </c>
      <c r="P205" s="115"/>
      <c r="Q205" s="8"/>
      <c r="R205" s="2">
        <v>1</v>
      </c>
      <c r="S205" s="9">
        <v>400</v>
      </c>
      <c r="T205" s="10">
        <f t="shared" si="32"/>
        <v>200</v>
      </c>
      <c r="U205" s="9">
        <v>5</v>
      </c>
      <c r="V205" s="10">
        <f t="shared" si="33"/>
        <v>195</v>
      </c>
      <c r="W205" s="4" t="s">
        <v>122</v>
      </c>
      <c r="X205" s="2"/>
      <c r="Y205" s="11">
        <v>4</v>
      </c>
      <c r="Z205" s="12">
        <f t="shared" si="34"/>
        <v>0</v>
      </c>
      <c r="AA205" s="4" t="s">
        <v>259</v>
      </c>
      <c r="AC205" s="176">
        <f t="shared" si="35"/>
        <v>4.5454545454545452E-3</v>
      </c>
    </row>
    <row r="206" spans="1:29" customFormat="1">
      <c r="A206" s="181"/>
      <c r="B206" s="183">
        <f t="shared" si="36"/>
        <v>5</v>
      </c>
      <c r="C206" s="107" t="str">
        <f t="shared" si="37"/>
        <v>ATK</v>
      </c>
      <c r="D206" s="2" t="s">
        <v>706</v>
      </c>
      <c r="E206" s="3">
        <v>43861</v>
      </c>
      <c r="F206" s="3">
        <v>43861</v>
      </c>
      <c r="G206" s="108">
        <f t="shared" si="38"/>
        <v>1</v>
      </c>
      <c r="H206" s="108" t="str">
        <f t="shared" si="39"/>
        <v>완료</v>
      </c>
      <c r="I206" s="112" t="s">
        <v>218</v>
      </c>
      <c r="J206" s="4" t="s">
        <v>118</v>
      </c>
      <c r="K206" s="5" t="s">
        <v>134</v>
      </c>
      <c r="L206" s="6" t="str">
        <f t="shared" si="31"/>
        <v>2T1</v>
      </c>
      <c r="M206" s="13"/>
      <c r="N206" s="7" t="s">
        <v>3509</v>
      </c>
      <c r="O206" s="13" t="s">
        <v>707</v>
      </c>
      <c r="P206" s="115"/>
      <c r="Q206" s="8"/>
      <c r="R206" s="2">
        <v>1</v>
      </c>
      <c r="S206" s="9">
        <v>1200</v>
      </c>
      <c r="T206" s="10">
        <f t="shared" si="32"/>
        <v>600</v>
      </c>
      <c r="U206" s="9"/>
      <c r="V206" s="10">
        <f t="shared" si="33"/>
        <v>600</v>
      </c>
      <c r="W206" s="4" t="s">
        <v>122</v>
      </c>
      <c r="X206" s="2"/>
      <c r="Y206" s="11">
        <v>4</v>
      </c>
      <c r="Z206" s="12">
        <f t="shared" si="34"/>
        <v>0</v>
      </c>
      <c r="AA206" s="4" t="s">
        <v>259</v>
      </c>
      <c r="AC206" s="176">
        <f t="shared" si="35"/>
        <v>0</v>
      </c>
    </row>
    <row r="207" spans="1:29" customFormat="1">
      <c r="A207" s="181"/>
      <c r="B207" s="183">
        <f t="shared" si="36"/>
        <v>5</v>
      </c>
      <c r="C207" s="107" t="str">
        <f t="shared" si="37"/>
        <v>ATK</v>
      </c>
      <c r="D207" s="2" t="s">
        <v>710</v>
      </c>
      <c r="E207" s="3">
        <v>43861</v>
      </c>
      <c r="F207" s="3">
        <v>43861</v>
      </c>
      <c r="G207" s="108">
        <f t="shared" si="38"/>
        <v>1</v>
      </c>
      <c r="H207" s="108" t="str">
        <f t="shared" si="39"/>
        <v>완료</v>
      </c>
      <c r="I207" s="112" t="s">
        <v>218</v>
      </c>
      <c r="J207" s="4" t="s">
        <v>115</v>
      </c>
      <c r="K207" s="5" t="s">
        <v>138</v>
      </c>
      <c r="L207" s="6" t="str">
        <f t="shared" si="31"/>
        <v>EE1</v>
      </c>
      <c r="M207" s="13" t="s">
        <v>711</v>
      </c>
      <c r="N207" s="7" t="s">
        <v>3578</v>
      </c>
      <c r="O207" s="7" t="s">
        <v>712</v>
      </c>
      <c r="P207" s="115" t="s">
        <v>713</v>
      </c>
      <c r="Q207" s="8"/>
      <c r="R207" s="2">
        <v>1</v>
      </c>
      <c r="S207" s="9">
        <v>1200</v>
      </c>
      <c r="T207" s="10">
        <f t="shared" si="32"/>
        <v>600</v>
      </c>
      <c r="U207" s="9">
        <v>10</v>
      </c>
      <c r="V207" s="10">
        <f t="shared" si="33"/>
        <v>590</v>
      </c>
      <c r="W207" s="4" t="s">
        <v>122</v>
      </c>
      <c r="X207" s="2"/>
      <c r="Y207" s="11">
        <v>7</v>
      </c>
      <c r="Z207" s="12">
        <f t="shared" si="34"/>
        <v>0</v>
      </c>
      <c r="AA207" s="4" t="s">
        <v>212</v>
      </c>
      <c r="AC207" s="176">
        <f t="shared" si="35"/>
        <v>9.0909090909090905E-3</v>
      </c>
    </row>
    <row r="208" spans="1:29" customFormat="1">
      <c r="A208" s="181"/>
      <c r="B208" s="183">
        <f t="shared" si="36"/>
        <v>5</v>
      </c>
      <c r="C208" s="107" t="str">
        <f t="shared" si="37"/>
        <v>ATK</v>
      </c>
      <c r="D208" s="2" t="s">
        <v>217</v>
      </c>
      <c r="E208" s="3">
        <v>43801</v>
      </c>
      <c r="F208" s="3">
        <v>43861</v>
      </c>
      <c r="G208" s="108">
        <f t="shared" si="38"/>
        <v>1</v>
      </c>
      <c r="H208" s="108" t="str">
        <f t="shared" si="39"/>
        <v>완료</v>
      </c>
      <c r="I208" s="112" t="s">
        <v>218</v>
      </c>
      <c r="J208" s="4" t="s">
        <v>127</v>
      </c>
      <c r="K208" s="5" t="s">
        <v>131</v>
      </c>
      <c r="L208" s="6" t="str">
        <f t="shared" si="31"/>
        <v>1T4</v>
      </c>
      <c r="M208" s="13"/>
      <c r="N208" s="7" t="s">
        <v>3579</v>
      </c>
      <c r="O208" s="13" t="s">
        <v>339</v>
      </c>
      <c r="P208" s="115" t="s">
        <v>714</v>
      </c>
      <c r="Q208" s="8" t="s">
        <v>715</v>
      </c>
      <c r="R208" s="2">
        <v>1</v>
      </c>
      <c r="S208" s="9">
        <v>4000</v>
      </c>
      <c r="T208" s="10">
        <f t="shared" si="32"/>
        <v>2000</v>
      </c>
      <c r="U208" s="9">
        <v>1</v>
      </c>
      <c r="V208" s="10">
        <f t="shared" si="33"/>
        <v>1999</v>
      </c>
      <c r="W208" s="4" t="s">
        <v>122</v>
      </c>
      <c r="X208" s="2"/>
      <c r="Y208" s="11">
        <v>5</v>
      </c>
      <c r="Z208" s="12">
        <f t="shared" si="34"/>
        <v>60</v>
      </c>
      <c r="AA208" s="4" t="s">
        <v>120</v>
      </c>
      <c r="AC208" s="176">
        <f t="shared" si="35"/>
        <v>9.0909090909090909E-4</v>
      </c>
    </row>
    <row r="209" spans="1:29" customFormat="1">
      <c r="A209" s="181"/>
      <c r="B209" s="183">
        <f t="shared" si="36"/>
        <v>5</v>
      </c>
      <c r="C209" s="107" t="str">
        <f t="shared" si="37"/>
        <v>ATK</v>
      </c>
      <c r="D209" s="2" t="s">
        <v>321</v>
      </c>
      <c r="E209" s="3">
        <v>43861</v>
      </c>
      <c r="F209" s="3">
        <v>43861</v>
      </c>
      <c r="G209" s="108">
        <f t="shared" si="38"/>
        <v>1</v>
      </c>
      <c r="H209" s="108" t="str">
        <f t="shared" si="39"/>
        <v>완료</v>
      </c>
      <c r="I209" s="112" t="s">
        <v>218</v>
      </c>
      <c r="J209" s="4" t="s">
        <v>132</v>
      </c>
      <c r="K209" s="5" t="s">
        <v>322</v>
      </c>
      <c r="L209" s="6" t="str">
        <f t="shared" si="31"/>
        <v>3T1</v>
      </c>
      <c r="M209" s="13" t="s">
        <v>323</v>
      </c>
      <c r="N209" s="7" t="s">
        <v>140</v>
      </c>
      <c r="O209" s="13" t="s">
        <v>716</v>
      </c>
      <c r="P209" s="115" t="s">
        <v>717</v>
      </c>
      <c r="Q209" s="8"/>
      <c r="R209" s="2">
        <v>1</v>
      </c>
      <c r="S209" s="9">
        <v>2000</v>
      </c>
      <c r="T209" s="10">
        <f t="shared" si="32"/>
        <v>1000</v>
      </c>
      <c r="U209" s="9">
        <v>0</v>
      </c>
      <c r="V209" s="10">
        <f t="shared" si="33"/>
        <v>1000</v>
      </c>
      <c r="W209" s="4" t="s">
        <v>122</v>
      </c>
      <c r="X209" s="2"/>
      <c r="Y209" s="11">
        <v>1</v>
      </c>
      <c r="Z209" s="12">
        <f t="shared" si="34"/>
        <v>0</v>
      </c>
      <c r="AA209" s="4" t="s">
        <v>27</v>
      </c>
      <c r="AC209" s="176">
        <f t="shared" si="35"/>
        <v>0</v>
      </c>
    </row>
    <row r="210" spans="1:29" customFormat="1">
      <c r="A210" s="181"/>
      <c r="B210" s="183">
        <f t="shared" si="36"/>
        <v>6</v>
      </c>
      <c r="C210" s="107" t="str">
        <f t="shared" si="37"/>
        <v>ATK</v>
      </c>
      <c r="D210" s="2" t="s">
        <v>718</v>
      </c>
      <c r="E210" s="3">
        <v>43864</v>
      </c>
      <c r="F210" s="3">
        <v>43864</v>
      </c>
      <c r="G210" s="108">
        <f t="shared" si="38"/>
        <v>2</v>
      </c>
      <c r="H210" s="108" t="str">
        <f t="shared" si="39"/>
        <v>완료</v>
      </c>
      <c r="I210" s="112" t="s">
        <v>218</v>
      </c>
      <c r="J210" s="4" t="s">
        <v>115</v>
      </c>
      <c r="K210" s="5" t="s">
        <v>116</v>
      </c>
      <c r="L210" s="6" t="str">
        <f t="shared" si="31"/>
        <v>EE2</v>
      </c>
      <c r="M210" s="13" t="s">
        <v>256</v>
      </c>
      <c r="N210" s="7" t="s">
        <v>3580</v>
      </c>
      <c r="O210" s="7" t="s">
        <v>720</v>
      </c>
      <c r="P210" s="7" t="s">
        <v>719</v>
      </c>
      <c r="Q210" s="8"/>
      <c r="R210" s="2">
        <v>1</v>
      </c>
      <c r="S210" s="9">
        <v>100</v>
      </c>
      <c r="T210" s="10">
        <f t="shared" si="32"/>
        <v>50</v>
      </c>
      <c r="U210" s="9"/>
      <c r="V210" s="10">
        <f t="shared" si="33"/>
        <v>50</v>
      </c>
      <c r="W210" s="4" t="s">
        <v>122</v>
      </c>
      <c r="X210" s="2"/>
      <c r="Y210" s="11">
        <v>3</v>
      </c>
      <c r="Z210" s="12">
        <f t="shared" si="34"/>
        <v>0</v>
      </c>
      <c r="AA210" s="4" t="s">
        <v>212</v>
      </c>
      <c r="AC210" s="176">
        <f t="shared" si="35"/>
        <v>0</v>
      </c>
    </row>
    <row r="211" spans="1:29" customFormat="1">
      <c r="A211" s="181"/>
      <c r="B211" s="183">
        <f t="shared" si="36"/>
        <v>6</v>
      </c>
      <c r="C211" s="107" t="str">
        <f t="shared" si="37"/>
        <v>ATK</v>
      </c>
      <c r="D211" s="2" t="s">
        <v>784</v>
      </c>
      <c r="E211" s="3">
        <v>43864</v>
      </c>
      <c r="F211" s="3">
        <v>43866</v>
      </c>
      <c r="G211" s="108">
        <f t="shared" si="38"/>
        <v>2</v>
      </c>
      <c r="H211" s="108" t="str">
        <f t="shared" si="39"/>
        <v>완료</v>
      </c>
      <c r="I211" s="112" t="s">
        <v>218</v>
      </c>
      <c r="J211" s="4" t="s">
        <v>132</v>
      </c>
      <c r="K211" s="5" t="s">
        <v>133</v>
      </c>
      <c r="L211" s="6" t="str">
        <f t="shared" si="31"/>
        <v>3T3</v>
      </c>
      <c r="M211" s="13" t="s">
        <v>721</v>
      </c>
      <c r="N211" s="7" t="s">
        <v>3581</v>
      </c>
      <c r="O211" s="13" t="s">
        <v>284</v>
      </c>
      <c r="P211" s="115" t="s">
        <v>759</v>
      </c>
      <c r="Q211" s="8"/>
      <c r="R211" s="2">
        <v>2</v>
      </c>
      <c r="S211" s="9">
        <v>2000</v>
      </c>
      <c r="T211" s="10">
        <f t="shared" si="32"/>
        <v>2000</v>
      </c>
      <c r="U211" s="9">
        <v>15</v>
      </c>
      <c r="V211" s="10">
        <f t="shared" si="33"/>
        <v>1985</v>
      </c>
      <c r="W211" s="4" t="s">
        <v>122</v>
      </c>
      <c r="X211" s="2"/>
      <c r="Y211" s="11">
        <v>8</v>
      </c>
      <c r="Z211" s="12">
        <f t="shared" si="34"/>
        <v>2</v>
      </c>
      <c r="AA211" s="4" t="s">
        <v>212</v>
      </c>
      <c r="AC211" s="176">
        <f t="shared" si="35"/>
        <v>1.3636363636363636E-2</v>
      </c>
    </row>
    <row r="212" spans="1:29" customFormat="1">
      <c r="A212" s="181"/>
      <c r="B212" s="183">
        <f t="shared" si="36"/>
        <v>6</v>
      </c>
      <c r="C212" s="107" t="str">
        <f t="shared" si="37"/>
        <v>ATK</v>
      </c>
      <c r="D212" s="2" t="s">
        <v>722</v>
      </c>
      <c r="E212" s="3">
        <v>43864</v>
      </c>
      <c r="F212" s="3">
        <v>43864</v>
      </c>
      <c r="G212" s="108">
        <f t="shared" si="38"/>
        <v>2</v>
      </c>
      <c r="H212" s="108" t="str">
        <f t="shared" si="39"/>
        <v>완료</v>
      </c>
      <c r="I212" s="112" t="s">
        <v>218</v>
      </c>
      <c r="J212" s="4" t="s">
        <v>127</v>
      </c>
      <c r="K212" s="5" t="s">
        <v>131</v>
      </c>
      <c r="L212" s="6" t="str">
        <f t="shared" si="31"/>
        <v>1T4</v>
      </c>
      <c r="M212" s="13" t="s">
        <v>723</v>
      </c>
      <c r="N212" s="7"/>
      <c r="O212" s="13" t="s">
        <v>708</v>
      </c>
      <c r="P212" s="115"/>
      <c r="Q212" s="8"/>
      <c r="R212" s="2">
        <v>1</v>
      </c>
      <c r="S212" s="9">
        <v>400</v>
      </c>
      <c r="T212" s="10">
        <f t="shared" si="32"/>
        <v>200</v>
      </c>
      <c r="U212" s="9">
        <v>5</v>
      </c>
      <c r="V212" s="10">
        <f t="shared" si="33"/>
        <v>195</v>
      </c>
      <c r="W212" s="4" t="s">
        <v>122</v>
      </c>
      <c r="X212" s="2"/>
      <c r="Y212" s="11">
        <v>2</v>
      </c>
      <c r="Z212" s="12">
        <f t="shared" si="34"/>
        <v>0</v>
      </c>
      <c r="AA212" s="4" t="s">
        <v>259</v>
      </c>
      <c r="AC212" s="176">
        <f t="shared" si="35"/>
        <v>4.5454545454545452E-3</v>
      </c>
    </row>
    <row r="213" spans="1:29" customFormat="1">
      <c r="A213" s="181"/>
      <c r="B213" s="183">
        <f t="shared" si="36"/>
        <v>6</v>
      </c>
      <c r="C213" s="107" t="str">
        <f t="shared" si="37"/>
        <v>ATK</v>
      </c>
      <c r="D213" s="2" t="s">
        <v>724</v>
      </c>
      <c r="E213" s="3">
        <v>43864</v>
      </c>
      <c r="F213" s="3">
        <v>43864</v>
      </c>
      <c r="G213" s="108">
        <f t="shared" si="38"/>
        <v>2</v>
      </c>
      <c r="H213" s="108" t="str">
        <f t="shared" si="39"/>
        <v>완료</v>
      </c>
      <c r="I213" s="112" t="s">
        <v>218</v>
      </c>
      <c r="J213" s="4" t="s">
        <v>121</v>
      </c>
      <c r="K213" s="5" t="s">
        <v>136</v>
      </c>
      <c r="L213" s="6" t="str">
        <f t="shared" si="31"/>
        <v>5T1</v>
      </c>
      <c r="M213" s="13" t="s">
        <v>314</v>
      </c>
      <c r="N213" s="7" t="s">
        <v>3582</v>
      </c>
      <c r="O213" s="13" t="s">
        <v>727</v>
      </c>
      <c r="P213" s="115" t="s">
        <v>725</v>
      </c>
      <c r="Q213" s="8" t="s">
        <v>726</v>
      </c>
      <c r="R213" s="2">
        <v>1</v>
      </c>
      <c r="S213" s="9">
        <v>4000</v>
      </c>
      <c r="T213" s="10">
        <f t="shared" si="32"/>
        <v>2000</v>
      </c>
      <c r="U213" s="9">
        <v>1</v>
      </c>
      <c r="V213" s="10">
        <f t="shared" si="33"/>
        <v>1999</v>
      </c>
      <c r="W213" s="4" t="s">
        <v>122</v>
      </c>
      <c r="X213" s="2"/>
      <c r="Y213" s="11">
        <v>4</v>
      </c>
      <c r="Z213" s="12">
        <f t="shared" si="34"/>
        <v>0</v>
      </c>
      <c r="AA213" s="4" t="s">
        <v>120</v>
      </c>
      <c r="AC213" s="176">
        <f t="shared" si="35"/>
        <v>9.0909090909090909E-4</v>
      </c>
    </row>
    <row r="214" spans="1:29" customFormat="1">
      <c r="A214" s="181"/>
      <c r="B214" s="183">
        <f t="shared" si="36"/>
        <v>6</v>
      </c>
      <c r="C214" s="107" t="str">
        <f t="shared" si="37"/>
        <v>ATK</v>
      </c>
      <c r="D214" s="2" t="s">
        <v>661</v>
      </c>
      <c r="E214" s="3">
        <v>43864</v>
      </c>
      <c r="F214" s="3">
        <v>43864</v>
      </c>
      <c r="G214" s="108">
        <f t="shared" si="38"/>
        <v>2</v>
      </c>
      <c r="H214" s="108" t="str">
        <f t="shared" si="39"/>
        <v>완료</v>
      </c>
      <c r="I214" s="112" t="s">
        <v>218</v>
      </c>
      <c r="J214" s="4" t="s">
        <v>121</v>
      </c>
      <c r="K214" s="5" t="s">
        <v>136</v>
      </c>
      <c r="L214" s="6" t="str">
        <f t="shared" si="31"/>
        <v>5T1</v>
      </c>
      <c r="M214" s="13"/>
      <c r="N214" s="7" t="s">
        <v>3583</v>
      </c>
      <c r="O214" s="13" t="s">
        <v>728</v>
      </c>
      <c r="P214" s="13" t="s">
        <v>729</v>
      </c>
      <c r="Q214" s="8"/>
      <c r="R214" s="2">
        <v>1</v>
      </c>
      <c r="S214" s="9">
        <v>250</v>
      </c>
      <c r="T214" s="10">
        <f t="shared" si="32"/>
        <v>125</v>
      </c>
      <c r="U214" s="9">
        <v>5</v>
      </c>
      <c r="V214" s="10">
        <f t="shared" si="33"/>
        <v>120</v>
      </c>
      <c r="W214" s="4" t="s">
        <v>122</v>
      </c>
      <c r="X214" s="2"/>
      <c r="Y214" s="11">
        <v>3</v>
      </c>
      <c r="Z214" s="12">
        <f t="shared" si="34"/>
        <v>0</v>
      </c>
      <c r="AA214" s="4" t="s">
        <v>212</v>
      </c>
      <c r="AC214" s="176">
        <f t="shared" si="35"/>
        <v>4.5454545454545452E-3</v>
      </c>
    </row>
    <row r="215" spans="1:29" customFormat="1">
      <c r="A215" s="181"/>
      <c r="B215" s="183">
        <f t="shared" si="36"/>
        <v>6</v>
      </c>
      <c r="C215" s="107" t="str">
        <f t="shared" si="37"/>
        <v>ATK</v>
      </c>
      <c r="D215" s="2" t="s">
        <v>455</v>
      </c>
      <c r="E215" s="3">
        <v>43864</v>
      </c>
      <c r="F215" s="3">
        <v>43864</v>
      </c>
      <c r="G215" s="108">
        <f t="shared" si="38"/>
        <v>2</v>
      </c>
      <c r="H215" s="108" t="str">
        <f t="shared" si="39"/>
        <v>완료</v>
      </c>
      <c r="I215" s="112" t="s">
        <v>218</v>
      </c>
      <c r="J215" s="4" t="s">
        <v>118</v>
      </c>
      <c r="K215" s="5" t="s">
        <v>119</v>
      </c>
      <c r="L215" s="6" t="str">
        <f t="shared" si="31"/>
        <v>2T3</v>
      </c>
      <c r="M215" s="13" t="s">
        <v>730</v>
      </c>
      <c r="N215" s="7" t="s">
        <v>3491</v>
      </c>
      <c r="O215" s="13" t="s">
        <v>731</v>
      </c>
      <c r="P215" s="115" t="s">
        <v>732</v>
      </c>
      <c r="Q215" s="8"/>
      <c r="R215" s="2">
        <v>1</v>
      </c>
      <c r="S215" s="9">
        <v>5000</v>
      </c>
      <c r="T215" s="10">
        <f t="shared" si="32"/>
        <v>2500</v>
      </c>
      <c r="U215" s="9">
        <v>20</v>
      </c>
      <c r="V215" s="10">
        <f t="shared" si="33"/>
        <v>2480</v>
      </c>
      <c r="W215" s="4" t="s">
        <v>122</v>
      </c>
      <c r="X215" s="2"/>
      <c r="Y215" s="11">
        <v>4</v>
      </c>
      <c r="Z215" s="12">
        <f t="shared" si="34"/>
        <v>0</v>
      </c>
      <c r="AA215" s="4" t="s">
        <v>117</v>
      </c>
      <c r="AC215" s="176">
        <f t="shared" si="35"/>
        <v>1.8181818181818181E-2</v>
      </c>
    </row>
    <row r="216" spans="1:29" customFormat="1">
      <c r="A216" s="181"/>
      <c r="B216" s="183">
        <f t="shared" si="36"/>
        <v>6</v>
      </c>
      <c r="C216" s="107" t="str">
        <f t="shared" si="37"/>
        <v>ATK</v>
      </c>
      <c r="D216" s="2" t="s">
        <v>455</v>
      </c>
      <c r="E216" s="3">
        <v>43864</v>
      </c>
      <c r="F216" s="3">
        <v>43864</v>
      </c>
      <c r="G216" s="108">
        <f t="shared" si="38"/>
        <v>2</v>
      </c>
      <c r="H216" s="108" t="str">
        <f t="shared" si="39"/>
        <v>완료</v>
      </c>
      <c r="I216" s="112" t="s">
        <v>218</v>
      </c>
      <c r="J216" s="4" t="s">
        <v>118</v>
      </c>
      <c r="K216" s="5" t="s">
        <v>119</v>
      </c>
      <c r="L216" s="6" t="str">
        <f t="shared" si="31"/>
        <v>2T3</v>
      </c>
      <c r="M216" s="13" t="s">
        <v>730</v>
      </c>
      <c r="N216" s="7" t="s">
        <v>3491</v>
      </c>
      <c r="O216" s="13" t="s">
        <v>731</v>
      </c>
      <c r="P216" s="115" t="s">
        <v>733</v>
      </c>
      <c r="Q216" s="8"/>
      <c r="R216" s="2">
        <v>1</v>
      </c>
      <c r="S216" s="9">
        <v>5000</v>
      </c>
      <c r="T216" s="10">
        <f t="shared" si="32"/>
        <v>2500</v>
      </c>
      <c r="U216" s="9">
        <v>20</v>
      </c>
      <c r="V216" s="10">
        <f t="shared" si="33"/>
        <v>2480</v>
      </c>
      <c r="W216" s="4" t="s">
        <v>122</v>
      </c>
      <c r="X216" s="2"/>
      <c r="Y216" s="11">
        <v>2</v>
      </c>
      <c r="Z216" s="12">
        <f t="shared" si="34"/>
        <v>0</v>
      </c>
      <c r="AA216" s="4" t="s">
        <v>117</v>
      </c>
      <c r="AC216" s="176">
        <f t="shared" si="35"/>
        <v>1.8181818181818181E-2</v>
      </c>
    </row>
    <row r="217" spans="1:29" customFormat="1">
      <c r="A217" s="181"/>
      <c r="B217" s="183">
        <f t="shared" si="36"/>
        <v>6</v>
      </c>
      <c r="C217" s="107" t="str">
        <f t="shared" si="37"/>
        <v>ATK</v>
      </c>
      <c r="D217" s="2" t="s">
        <v>734</v>
      </c>
      <c r="E217" s="3">
        <v>43853</v>
      </c>
      <c r="F217" s="3">
        <v>43864</v>
      </c>
      <c r="G217" s="108">
        <f t="shared" si="38"/>
        <v>2</v>
      </c>
      <c r="H217" s="108" t="str">
        <f t="shared" si="39"/>
        <v>완료</v>
      </c>
      <c r="I217" s="112" t="s">
        <v>218</v>
      </c>
      <c r="J217" s="4" t="s">
        <v>303</v>
      </c>
      <c r="K217" s="5" t="s">
        <v>303</v>
      </c>
      <c r="L217" s="6" t="str">
        <f t="shared" si="31"/>
        <v>K5</v>
      </c>
      <c r="M217" s="13" t="s">
        <v>226</v>
      </c>
      <c r="N217" s="7" t="s">
        <v>3531</v>
      </c>
      <c r="O217" s="13" t="s">
        <v>735</v>
      </c>
      <c r="P217" s="115" t="s">
        <v>736</v>
      </c>
      <c r="Q217" s="8"/>
      <c r="R217" s="2">
        <v>1</v>
      </c>
      <c r="S217" s="9">
        <v>750</v>
      </c>
      <c r="T217" s="10">
        <f t="shared" si="32"/>
        <v>375</v>
      </c>
      <c r="U217" s="9">
        <v>10</v>
      </c>
      <c r="V217" s="10">
        <f t="shared" si="33"/>
        <v>365</v>
      </c>
      <c r="W217" s="4" t="s">
        <v>122</v>
      </c>
      <c r="X217" s="2"/>
      <c r="Y217" s="11">
        <v>4</v>
      </c>
      <c r="Z217" s="12">
        <f t="shared" si="34"/>
        <v>11</v>
      </c>
      <c r="AA217" s="4" t="s">
        <v>27</v>
      </c>
      <c r="AC217" s="176">
        <f t="shared" si="35"/>
        <v>9.0909090909090905E-3</v>
      </c>
    </row>
    <row r="218" spans="1:29" customFormat="1">
      <c r="A218" s="181"/>
      <c r="B218" s="183">
        <f t="shared" si="36"/>
        <v>6</v>
      </c>
      <c r="C218" s="107" t="str">
        <f t="shared" si="37"/>
        <v>ATK</v>
      </c>
      <c r="D218" s="2" t="s">
        <v>737</v>
      </c>
      <c r="E218" s="3">
        <v>43864</v>
      </c>
      <c r="F218" s="3">
        <v>43864</v>
      </c>
      <c r="G218" s="108">
        <f t="shared" si="38"/>
        <v>2</v>
      </c>
      <c r="H218" s="108" t="str">
        <f t="shared" si="39"/>
        <v>완료</v>
      </c>
      <c r="I218" s="112" t="s">
        <v>218</v>
      </c>
      <c r="J218" s="4" t="s">
        <v>139</v>
      </c>
      <c r="K218" s="5" t="s">
        <v>177</v>
      </c>
      <c r="L218" s="6" t="str">
        <f t="shared" si="31"/>
        <v>Bum</v>
      </c>
      <c r="M218" s="13" t="s">
        <v>738</v>
      </c>
      <c r="N218" s="13">
        <v>655</v>
      </c>
      <c r="O218" s="13" t="s">
        <v>739</v>
      </c>
      <c r="P218" s="115" t="s">
        <v>740</v>
      </c>
      <c r="Q218" s="8"/>
      <c r="R218" s="2">
        <v>1</v>
      </c>
      <c r="S218" s="9">
        <v>20000</v>
      </c>
      <c r="T218" s="10">
        <f t="shared" si="32"/>
        <v>10000</v>
      </c>
      <c r="U218" s="9">
        <v>5</v>
      </c>
      <c r="V218" s="10">
        <f t="shared" si="33"/>
        <v>9995</v>
      </c>
      <c r="W218" s="4" t="s">
        <v>122</v>
      </c>
      <c r="X218" s="2"/>
      <c r="Y218" s="11">
        <v>4</v>
      </c>
      <c r="Z218" s="12">
        <f t="shared" si="34"/>
        <v>0</v>
      </c>
      <c r="AA218" s="4" t="s">
        <v>120</v>
      </c>
      <c r="AC218" s="176">
        <f t="shared" si="35"/>
        <v>4.5454545454545452E-3</v>
      </c>
    </row>
    <row r="219" spans="1:29" customFormat="1">
      <c r="A219" s="181"/>
      <c r="B219" s="183">
        <f t="shared" si="36"/>
        <v>6</v>
      </c>
      <c r="C219" s="107" t="str">
        <f t="shared" si="37"/>
        <v>ATK</v>
      </c>
      <c r="D219" s="2" t="s">
        <v>737</v>
      </c>
      <c r="E219" s="3">
        <v>43864</v>
      </c>
      <c r="F219" s="3">
        <v>43865</v>
      </c>
      <c r="G219" s="108">
        <f t="shared" si="38"/>
        <v>2</v>
      </c>
      <c r="H219" s="108" t="str">
        <f t="shared" si="39"/>
        <v>완료</v>
      </c>
      <c r="I219" s="112" t="s">
        <v>218</v>
      </c>
      <c r="J219" s="4" t="s">
        <v>139</v>
      </c>
      <c r="K219" s="5" t="s">
        <v>177</v>
      </c>
      <c r="L219" s="6" t="str">
        <f t="shared" si="31"/>
        <v>Bum</v>
      </c>
      <c r="M219" s="13" t="s">
        <v>738</v>
      </c>
      <c r="N219" s="13">
        <v>655</v>
      </c>
      <c r="O219" s="13" t="s">
        <v>739</v>
      </c>
      <c r="P219" s="115" t="s">
        <v>740</v>
      </c>
      <c r="Q219" s="8"/>
      <c r="R219" s="2">
        <v>1</v>
      </c>
      <c r="S219" s="9">
        <v>20000</v>
      </c>
      <c r="T219" s="10">
        <f t="shared" si="32"/>
        <v>10000</v>
      </c>
      <c r="U219" s="9">
        <v>5</v>
      </c>
      <c r="V219" s="10">
        <f t="shared" si="33"/>
        <v>9995</v>
      </c>
      <c r="W219" s="4" t="s">
        <v>122</v>
      </c>
      <c r="X219" s="2"/>
      <c r="Y219" s="11">
        <v>4</v>
      </c>
      <c r="Z219" s="12">
        <f t="shared" si="34"/>
        <v>1</v>
      </c>
      <c r="AA219" s="4" t="s">
        <v>120</v>
      </c>
      <c r="AC219" s="176">
        <f t="shared" si="35"/>
        <v>4.5454545454545452E-3</v>
      </c>
    </row>
    <row r="220" spans="1:29" customFormat="1">
      <c r="A220" s="181"/>
      <c r="B220" s="183">
        <f t="shared" si="36"/>
        <v>6</v>
      </c>
      <c r="C220" s="107" t="str">
        <f t="shared" si="37"/>
        <v>ATK</v>
      </c>
      <c r="D220" s="2" t="s">
        <v>741</v>
      </c>
      <c r="E220" s="3">
        <v>43865</v>
      </c>
      <c r="F220" s="3">
        <v>43865</v>
      </c>
      <c r="G220" s="108">
        <f t="shared" si="38"/>
        <v>2</v>
      </c>
      <c r="H220" s="108" t="str">
        <f t="shared" si="39"/>
        <v>완료</v>
      </c>
      <c r="I220" s="112" t="s">
        <v>218</v>
      </c>
      <c r="J220" s="4" t="s">
        <v>808</v>
      </c>
      <c r="K220" s="5" t="s">
        <v>833</v>
      </c>
      <c r="L220" s="6" t="str">
        <f t="shared" si="31"/>
        <v>1T3</v>
      </c>
      <c r="M220" s="13" t="s">
        <v>742</v>
      </c>
      <c r="N220" s="7" t="s">
        <v>3512</v>
      </c>
      <c r="O220" s="13" t="s">
        <v>743</v>
      </c>
      <c r="P220" s="115"/>
      <c r="Q220" s="8"/>
      <c r="R220" s="2">
        <v>2</v>
      </c>
      <c r="S220" s="9">
        <v>500</v>
      </c>
      <c r="T220" s="10">
        <f t="shared" si="32"/>
        <v>500</v>
      </c>
      <c r="U220" s="9">
        <v>5</v>
      </c>
      <c r="V220" s="10">
        <f t="shared" si="33"/>
        <v>495</v>
      </c>
      <c r="W220" s="4" t="s">
        <v>122</v>
      </c>
      <c r="X220" s="2"/>
      <c r="Y220" s="11">
        <v>8</v>
      </c>
      <c r="Z220" s="12">
        <f t="shared" si="34"/>
        <v>0</v>
      </c>
      <c r="AA220" s="4" t="s">
        <v>259</v>
      </c>
      <c r="AC220" s="176">
        <f t="shared" si="35"/>
        <v>4.5454545454545452E-3</v>
      </c>
    </row>
    <row r="221" spans="1:29" customFormat="1">
      <c r="A221" s="181"/>
      <c r="B221" s="183">
        <f t="shared" si="36"/>
        <v>6</v>
      </c>
      <c r="C221" s="107" t="str">
        <f t="shared" si="37"/>
        <v>ATK</v>
      </c>
      <c r="D221" s="2" t="s">
        <v>382</v>
      </c>
      <c r="E221" s="3">
        <v>43865</v>
      </c>
      <c r="F221" s="3">
        <v>43865</v>
      </c>
      <c r="G221" s="108">
        <f t="shared" si="38"/>
        <v>2</v>
      </c>
      <c r="H221" s="108" t="str">
        <f t="shared" si="39"/>
        <v>완료</v>
      </c>
      <c r="I221" s="112" t="s">
        <v>218</v>
      </c>
      <c r="J221" s="4" t="s">
        <v>139</v>
      </c>
      <c r="K221" s="5" t="s">
        <v>466</v>
      </c>
      <c r="L221" s="6" t="str">
        <f t="shared" si="31"/>
        <v>6T2</v>
      </c>
      <c r="M221" s="13" t="s">
        <v>543</v>
      </c>
      <c r="N221" s="7" t="s">
        <v>3584</v>
      </c>
      <c r="O221" s="13" t="s">
        <v>744</v>
      </c>
      <c r="P221" s="115" t="s">
        <v>745</v>
      </c>
      <c r="Q221" s="8" t="s">
        <v>746</v>
      </c>
      <c r="R221" s="2">
        <v>1</v>
      </c>
      <c r="S221" s="9">
        <v>400</v>
      </c>
      <c r="T221" s="10">
        <f t="shared" si="32"/>
        <v>200</v>
      </c>
      <c r="U221" s="9">
        <v>2</v>
      </c>
      <c r="V221" s="10">
        <f t="shared" si="33"/>
        <v>198</v>
      </c>
      <c r="W221" s="4" t="s">
        <v>122</v>
      </c>
      <c r="X221" s="2"/>
      <c r="Y221" s="11">
        <v>2</v>
      </c>
      <c r="Z221" s="12">
        <f t="shared" si="34"/>
        <v>0</v>
      </c>
      <c r="AA221" s="4" t="s">
        <v>120</v>
      </c>
      <c r="AC221" s="176">
        <f t="shared" si="35"/>
        <v>1.8181818181818182E-3</v>
      </c>
    </row>
    <row r="222" spans="1:29" customFormat="1">
      <c r="A222" s="181"/>
      <c r="B222" s="183">
        <f t="shared" si="36"/>
        <v>6</v>
      </c>
      <c r="C222" s="107" t="str">
        <f t="shared" si="37"/>
        <v>ATK</v>
      </c>
      <c r="D222" s="2" t="s">
        <v>747</v>
      </c>
      <c r="E222" s="3">
        <v>43865</v>
      </c>
      <c r="F222" s="3">
        <v>43865</v>
      </c>
      <c r="G222" s="108">
        <f t="shared" si="38"/>
        <v>2</v>
      </c>
      <c r="H222" s="108" t="str">
        <f t="shared" si="39"/>
        <v>완료</v>
      </c>
      <c r="I222" s="112" t="s">
        <v>218</v>
      </c>
      <c r="J222" s="4" t="s">
        <v>748</v>
      </c>
      <c r="K222" s="5" t="s">
        <v>751</v>
      </c>
      <c r="L222" s="6" t="str">
        <f t="shared" si="31"/>
        <v>Bum</v>
      </c>
      <c r="M222" s="13" t="s">
        <v>226</v>
      </c>
      <c r="N222" s="7" t="s">
        <v>3564</v>
      </c>
      <c r="O222" s="13" t="s">
        <v>749</v>
      </c>
      <c r="P222" s="115" t="s">
        <v>750</v>
      </c>
      <c r="Q222" s="8"/>
      <c r="R222" s="2">
        <v>2</v>
      </c>
      <c r="S222" s="9">
        <v>800</v>
      </c>
      <c r="T222" s="10">
        <f t="shared" si="32"/>
        <v>800</v>
      </c>
      <c r="U222" s="9">
        <v>100</v>
      </c>
      <c r="V222" s="10">
        <f t="shared" si="33"/>
        <v>700</v>
      </c>
      <c r="W222" s="4" t="s">
        <v>122</v>
      </c>
      <c r="X222" s="2"/>
      <c r="Y222" s="11">
        <v>2</v>
      </c>
      <c r="Z222" s="12">
        <f t="shared" si="34"/>
        <v>0</v>
      </c>
      <c r="AA222" s="4" t="s">
        <v>117</v>
      </c>
      <c r="AC222" s="176">
        <f t="shared" si="35"/>
        <v>9.0909090909090912E-2</v>
      </c>
    </row>
    <row r="223" spans="1:29" customFormat="1">
      <c r="A223" s="181"/>
      <c r="B223" s="183">
        <f t="shared" si="36"/>
        <v>6</v>
      </c>
      <c r="C223" s="107" t="str">
        <f t="shared" si="37"/>
        <v>ATK</v>
      </c>
      <c r="D223" s="2" t="s">
        <v>312</v>
      </c>
      <c r="E223" s="3">
        <v>43864</v>
      </c>
      <c r="F223" s="3">
        <v>43866</v>
      </c>
      <c r="G223" s="108">
        <f t="shared" si="38"/>
        <v>2</v>
      </c>
      <c r="H223" s="108" t="str">
        <f t="shared" si="39"/>
        <v>완료</v>
      </c>
      <c r="I223" s="112" t="s">
        <v>218</v>
      </c>
      <c r="J223" s="4" t="s">
        <v>118</v>
      </c>
      <c r="K223" s="5" t="s">
        <v>119</v>
      </c>
      <c r="L223" s="6" t="str">
        <f t="shared" si="31"/>
        <v>2T3</v>
      </c>
      <c r="M223" s="13" t="s">
        <v>256</v>
      </c>
      <c r="N223" s="7" t="s">
        <v>3585</v>
      </c>
      <c r="O223" s="13" t="s">
        <v>602</v>
      </c>
      <c r="P223" s="115" t="s">
        <v>330</v>
      </c>
      <c r="Q223" s="8"/>
      <c r="R223" s="2">
        <v>1</v>
      </c>
      <c r="S223" s="9">
        <v>4500</v>
      </c>
      <c r="T223" s="10">
        <f t="shared" si="32"/>
        <v>2250</v>
      </c>
      <c r="U223" s="9">
        <v>50</v>
      </c>
      <c r="V223" s="10">
        <f t="shared" si="33"/>
        <v>2200</v>
      </c>
      <c r="W223" s="4" t="s">
        <v>122</v>
      </c>
      <c r="X223" s="2"/>
      <c r="Y223" s="11">
        <v>10</v>
      </c>
      <c r="Z223" s="12">
        <f t="shared" si="34"/>
        <v>2</v>
      </c>
      <c r="AA223" s="4" t="s">
        <v>27</v>
      </c>
      <c r="AC223" s="176">
        <f t="shared" si="35"/>
        <v>4.5454545454545456E-2</v>
      </c>
    </row>
    <row r="224" spans="1:29" customFormat="1">
      <c r="A224" s="181"/>
      <c r="B224" s="183">
        <f t="shared" si="36"/>
        <v>6</v>
      </c>
      <c r="C224" s="107" t="str">
        <f t="shared" si="37"/>
        <v>ATK</v>
      </c>
      <c r="D224" s="2" t="s">
        <v>541</v>
      </c>
      <c r="E224" s="3">
        <v>43866</v>
      </c>
      <c r="F224" s="3">
        <v>43866</v>
      </c>
      <c r="G224" s="108">
        <f t="shared" si="38"/>
        <v>2</v>
      </c>
      <c r="H224" s="108" t="str">
        <f t="shared" si="39"/>
        <v>완료</v>
      </c>
      <c r="I224" s="112" t="s">
        <v>218</v>
      </c>
      <c r="J224" s="4" t="s">
        <v>132</v>
      </c>
      <c r="K224" s="5" t="s">
        <v>322</v>
      </c>
      <c r="L224" s="6" t="str">
        <f t="shared" si="31"/>
        <v>3T1</v>
      </c>
      <c r="M224" s="13" t="s">
        <v>542</v>
      </c>
      <c r="N224" s="13" t="s">
        <v>3554</v>
      </c>
      <c r="O224" s="7" t="s">
        <v>543</v>
      </c>
      <c r="P224" s="115" t="s">
        <v>544</v>
      </c>
      <c r="Q224" s="8"/>
      <c r="R224" s="2">
        <v>1</v>
      </c>
      <c r="S224" s="9">
        <v>70</v>
      </c>
      <c r="T224" s="10">
        <f t="shared" si="32"/>
        <v>35</v>
      </c>
      <c r="U224" s="9">
        <v>1</v>
      </c>
      <c r="V224" s="10">
        <f t="shared" si="33"/>
        <v>34</v>
      </c>
      <c r="W224" s="4" t="s">
        <v>122</v>
      </c>
      <c r="X224" s="2"/>
      <c r="Y224" s="11">
        <v>2</v>
      </c>
      <c r="Z224" s="12">
        <f t="shared" si="34"/>
        <v>0</v>
      </c>
      <c r="AA224" s="4" t="s">
        <v>120</v>
      </c>
      <c r="AC224" s="176">
        <f t="shared" si="35"/>
        <v>9.0909090909090909E-4</v>
      </c>
    </row>
    <row r="225" spans="1:29" customFormat="1">
      <c r="A225" s="181"/>
      <c r="B225" s="183">
        <f t="shared" si="36"/>
        <v>6</v>
      </c>
      <c r="C225" s="107" t="str">
        <f t="shared" si="37"/>
        <v>ATK</v>
      </c>
      <c r="D225" s="2" t="s">
        <v>752</v>
      </c>
      <c r="E225" s="3">
        <v>43866</v>
      </c>
      <c r="F225" s="3">
        <v>43866</v>
      </c>
      <c r="G225" s="108">
        <f t="shared" si="38"/>
        <v>2</v>
      </c>
      <c r="H225" s="108" t="str">
        <f t="shared" si="39"/>
        <v>완료</v>
      </c>
      <c r="I225" s="112" t="s">
        <v>218</v>
      </c>
      <c r="J225" s="4" t="s">
        <v>121</v>
      </c>
      <c r="K225" s="5" t="s">
        <v>136</v>
      </c>
      <c r="L225" s="6" t="str">
        <f t="shared" si="31"/>
        <v>5T1</v>
      </c>
      <c r="M225" s="13" t="s">
        <v>753</v>
      </c>
      <c r="N225" s="7" t="s">
        <v>3586</v>
      </c>
      <c r="O225" s="13" t="s">
        <v>225</v>
      </c>
      <c r="P225" s="115" t="s">
        <v>750</v>
      </c>
      <c r="Q225" s="8"/>
      <c r="R225" s="2">
        <v>1</v>
      </c>
      <c r="S225" s="9">
        <v>3000</v>
      </c>
      <c r="T225" s="10">
        <f t="shared" si="32"/>
        <v>1500</v>
      </c>
      <c r="U225" s="9">
        <v>150</v>
      </c>
      <c r="V225" s="10">
        <f t="shared" si="33"/>
        <v>1350</v>
      </c>
      <c r="W225" s="4" t="s">
        <v>122</v>
      </c>
      <c r="X225" s="2"/>
      <c r="Y225" s="11">
        <v>1</v>
      </c>
      <c r="Z225" s="12">
        <f t="shared" si="34"/>
        <v>0</v>
      </c>
      <c r="AA225" s="4" t="s">
        <v>117</v>
      </c>
      <c r="AC225" s="176">
        <f t="shared" si="35"/>
        <v>0.13636363636363635</v>
      </c>
    </row>
    <row r="226" spans="1:29" customFormat="1">
      <c r="A226" s="181"/>
      <c r="B226" s="183">
        <f t="shared" si="36"/>
        <v>6</v>
      </c>
      <c r="C226" s="107" t="str">
        <f t="shared" si="37"/>
        <v>ATK</v>
      </c>
      <c r="D226" s="2" t="s">
        <v>755</v>
      </c>
      <c r="E226" s="3">
        <v>43866</v>
      </c>
      <c r="F226" s="3">
        <v>43866</v>
      </c>
      <c r="G226" s="108">
        <f t="shared" si="38"/>
        <v>2</v>
      </c>
      <c r="H226" s="108" t="str">
        <f t="shared" si="39"/>
        <v>완료</v>
      </c>
      <c r="I226" s="112" t="s">
        <v>218</v>
      </c>
      <c r="J226" s="4" t="s">
        <v>243</v>
      </c>
      <c r="K226" s="5" t="s">
        <v>243</v>
      </c>
      <c r="L226" s="6" t="str">
        <f t="shared" si="31"/>
        <v>K5</v>
      </c>
      <c r="M226" s="13" t="s">
        <v>756</v>
      </c>
      <c r="N226" s="7"/>
      <c r="O226" s="13" t="s">
        <v>757</v>
      </c>
      <c r="P226" s="115" t="s">
        <v>758</v>
      </c>
      <c r="Q226" s="8"/>
      <c r="R226" s="2">
        <v>1</v>
      </c>
      <c r="S226" s="9">
        <v>12000</v>
      </c>
      <c r="T226" s="10">
        <f t="shared" si="32"/>
        <v>6000</v>
      </c>
      <c r="U226" s="9">
        <v>0</v>
      </c>
      <c r="V226" s="10">
        <f t="shared" si="33"/>
        <v>6000</v>
      </c>
      <c r="W226" s="4" t="s">
        <v>122</v>
      </c>
      <c r="X226" s="2"/>
      <c r="Y226" s="11">
        <v>10</v>
      </c>
      <c r="Z226" s="12">
        <f t="shared" si="34"/>
        <v>0</v>
      </c>
      <c r="AA226" s="4" t="s">
        <v>130</v>
      </c>
      <c r="AC226" s="176">
        <f t="shared" si="35"/>
        <v>0</v>
      </c>
    </row>
    <row r="227" spans="1:29" customFormat="1">
      <c r="A227" s="181"/>
      <c r="B227" s="183">
        <f t="shared" si="36"/>
        <v>6</v>
      </c>
      <c r="C227" s="107" t="str">
        <f t="shared" si="37"/>
        <v>ATK</v>
      </c>
      <c r="D227" s="2" t="s">
        <v>760</v>
      </c>
      <c r="E227" s="3">
        <v>43866</v>
      </c>
      <c r="F227" s="3">
        <v>43866</v>
      </c>
      <c r="G227" s="108">
        <f t="shared" si="38"/>
        <v>2</v>
      </c>
      <c r="H227" s="108" t="str">
        <f t="shared" si="39"/>
        <v>완료</v>
      </c>
      <c r="I227" s="112" t="s">
        <v>218</v>
      </c>
      <c r="J227" s="4" t="s">
        <v>118</v>
      </c>
      <c r="K227" s="5" t="s">
        <v>119</v>
      </c>
      <c r="L227" s="6" t="str">
        <f t="shared" si="31"/>
        <v>2T3</v>
      </c>
      <c r="M227" s="13"/>
      <c r="N227" s="7" t="s">
        <v>3587</v>
      </c>
      <c r="O227" s="13"/>
      <c r="P227" s="115" t="s">
        <v>761</v>
      </c>
      <c r="Q227" s="8"/>
      <c r="R227" s="2">
        <v>2</v>
      </c>
      <c r="S227" s="9">
        <v>600</v>
      </c>
      <c r="T227" s="10">
        <f t="shared" si="32"/>
        <v>600</v>
      </c>
      <c r="U227" s="9">
        <v>20</v>
      </c>
      <c r="V227" s="10">
        <f t="shared" si="33"/>
        <v>580</v>
      </c>
      <c r="W227" s="4" t="s">
        <v>122</v>
      </c>
      <c r="X227" s="2"/>
      <c r="Y227" s="11">
        <v>8</v>
      </c>
      <c r="Z227" s="12">
        <f t="shared" si="34"/>
        <v>0</v>
      </c>
      <c r="AA227" s="4" t="s">
        <v>259</v>
      </c>
      <c r="AC227" s="176">
        <f t="shared" si="35"/>
        <v>1.8181818181818181E-2</v>
      </c>
    </row>
    <row r="228" spans="1:29" customFormat="1">
      <c r="A228" s="181"/>
      <c r="B228" s="183">
        <f t="shared" si="36"/>
        <v>6</v>
      </c>
      <c r="C228" s="107" t="str">
        <f t="shared" si="37"/>
        <v>ATK</v>
      </c>
      <c r="D228" s="2" t="s">
        <v>223</v>
      </c>
      <c r="E228" s="3">
        <v>43866</v>
      </c>
      <c r="F228" s="3">
        <v>43866</v>
      </c>
      <c r="G228" s="108">
        <f t="shared" si="38"/>
        <v>2</v>
      </c>
      <c r="H228" s="108" t="str">
        <f t="shared" si="39"/>
        <v>Other</v>
      </c>
      <c r="I228" s="112" t="s">
        <v>251</v>
      </c>
      <c r="J228" s="4" t="s">
        <v>121</v>
      </c>
      <c r="K228" s="5" t="s">
        <v>229</v>
      </c>
      <c r="L228" s="6" t="str">
        <f t="shared" si="31"/>
        <v>5T2</v>
      </c>
      <c r="M228" s="13" t="s">
        <v>226</v>
      </c>
      <c r="N228" s="7" t="s">
        <v>140</v>
      </c>
      <c r="O228" s="13" t="s">
        <v>762</v>
      </c>
      <c r="P228" s="115"/>
      <c r="Q228" s="8"/>
      <c r="R228" s="2">
        <v>1</v>
      </c>
      <c r="S228" s="9">
        <v>0</v>
      </c>
      <c r="T228" s="10">
        <f t="shared" si="32"/>
        <v>0</v>
      </c>
      <c r="U228" s="9">
        <v>0</v>
      </c>
      <c r="V228" s="10">
        <f t="shared" si="33"/>
        <v>0</v>
      </c>
      <c r="W228" s="4" t="s">
        <v>122</v>
      </c>
      <c r="X228" s="2"/>
      <c r="Y228" s="11">
        <v>2</v>
      </c>
      <c r="Z228" s="12">
        <f t="shared" si="34"/>
        <v>0</v>
      </c>
      <c r="AA228" s="4" t="s">
        <v>27</v>
      </c>
      <c r="AC228" s="176">
        <f t="shared" si="35"/>
        <v>0</v>
      </c>
    </row>
    <row r="229" spans="1:29" customFormat="1">
      <c r="A229" s="181"/>
      <c r="B229" s="183">
        <f t="shared" si="36"/>
        <v>6</v>
      </c>
      <c r="C229" s="107" t="str">
        <f t="shared" si="37"/>
        <v>ATK</v>
      </c>
      <c r="D229" s="2" t="s">
        <v>763</v>
      </c>
      <c r="E229" s="3">
        <v>43867</v>
      </c>
      <c r="F229" s="3">
        <v>43867</v>
      </c>
      <c r="G229" s="108">
        <f t="shared" si="38"/>
        <v>2</v>
      </c>
      <c r="H229" s="108" t="str">
        <f t="shared" si="39"/>
        <v>완료</v>
      </c>
      <c r="I229" s="112" t="s">
        <v>218</v>
      </c>
      <c r="J229" s="4" t="s">
        <v>243</v>
      </c>
      <c r="K229" s="5" t="s">
        <v>243</v>
      </c>
      <c r="L229" s="6" t="str">
        <f t="shared" si="31"/>
        <v>K5</v>
      </c>
      <c r="M229" s="13" t="s">
        <v>226</v>
      </c>
      <c r="N229" s="7" t="s">
        <v>3588</v>
      </c>
      <c r="O229" s="13" t="s">
        <v>339</v>
      </c>
      <c r="P229" s="115"/>
      <c r="Q229" s="8"/>
      <c r="R229" s="2">
        <v>1</v>
      </c>
      <c r="S229" s="9">
        <v>3000</v>
      </c>
      <c r="T229" s="10">
        <f t="shared" si="32"/>
        <v>1500</v>
      </c>
      <c r="U229" s="9">
        <v>20</v>
      </c>
      <c r="V229" s="10">
        <f t="shared" si="33"/>
        <v>1480</v>
      </c>
      <c r="W229" s="4" t="s">
        <v>122</v>
      </c>
      <c r="X229" s="2"/>
      <c r="Y229" s="11">
        <v>2</v>
      </c>
      <c r="Z229" s="12">
        <f t="shared" si="34"/>
        <v>0</v>
      </c>
      <c r="AA229" s="4" t="s">
        <v>117</v>
      </c>
      <c r="AC229" s="176">
        <f t="shared" si="35"/>
        <v>1.8181818181818181E-2</v>
      </c>
    </row>
    <row r="230" spans="1:29" customFormat="1">
      <c r="A230" s="181"/>
      <c r="B230" s="183">
        <f t="shared" si="36"/>
        <v>6</v>
      </c>
      <c r="C230" s="107" t="str">
        <f t="shared" si="37"/>
        <v>ATK</v>
      </c>
      <c r="D230" s="2" t="s">
        <v>764</v>
      </c>
      <c r="E230" s="3">
        <v>43851</v>
      </c>
      <c r="F230" s="3">
        <v>43867</v>
      </c>
      <c r="G230" s="108">
        <f t="shared" si="38"/>
        <v>2</v>
      </c>
      <c r="H230" s="108" t="str">
        <f t="shared" si="39"/>
        <v>완료</v>
      </c>
      <c r="I230" s="112" t="s">
        <v>218</v>
      </c>
      <c r="J230" s="4" t="s">
        <v>132</v>
      </c>
      <c r="K230" s="5" t="s">
        <v>143</v>
      </c>
      <c r="L230" s="6" t="str">
        <f t="shared" si="31"/>
        <v>3T4</v>
      </c>
      <c r="M230" s="13" t="s">
        <v>216</v>
      </c>
      <c r="N230" s="7" t="s">
        <v>3589</v>
      </c>
      <c r="O230" s="13" t="s">
        <v>765</v>
      </c>
      <c r="P230" s="115" t="s">
        <v>766</v>
      </c>
      <c r="Q230" s="8" t="s">
        <v>767</v>
      </c>
      <c r="R230" s="2">
        <v>1</v>
      </c>
      <c r="S230" s="9">
        <v>300</v>
      </c>
      <c r="T230" s="10">
        <f t="shared" si="32"/>
        <v>150</v>
      </c>
      <c r="U230" s="9">
        <v>0</v>
      </c>
      <c r="V230" s="10">
        <f t="shared" si="33"/>
        <v>150</v>
      </c>
      <c r="W230" s="4" t="s">
        <v>122</v>
      </c>
      <c r="X230" s="2"/>
      <c r="Y230" s="11">
        <v>16</v>
      </c>
      <c r="Z230" s="12">
        <f t="shared" si="34"/>
        <v>16</v>
      </c>
      <c r="AA230" s="4" t="s">
        <v>120</v>
      </c>
      <c r="AC230" s="176">
        <f t="shared" si="35"/>
        <v>0</v>
      </c>
    </row>
    <row r="231" spans="1:29" customFormat="1">
      <c r="A231" s="181"/>
      <c r="B231" s="183">
        <f t="shared" si="36"/>
        <v>6</v>
      </c>
      <c r="C231" s="107" t="str">
        <f t="shared" si="37"/>
        <v>ATK</v>
      </c>
      <c r="D231" s="2" t="s">
        <v>768</v>
      </c>
      <c r="E231" s="3">
        <v>43858</v>
      </c>
      <c r="F231" s="3">
        <v>43867</v>
      </c>
      <c r="G231" s="108">
        <f t="shared" si="38"/>
        <v>2</v>
      </c>
      <c r="H231" s="108" t="str">
        <f t="shared" si="39"/>
        <v>완료</v>
      </c>
      <c r="I231" s="112" t="s">
        <v>218</v>
      </c>
      <c r="J231" s="4" t="s">
        <v>118</v>
      </c>
      <c r="K231" s="5" t="s">
        <v>134</v>
      </c>
      <c r="L231" s="6" t="str">
        <f t="shared" si="31"/>
        <v>2T1</v>
      </c>
      <c r="M231" s="13" t="s">
        <v>270</v>
      </c>
      <c r="N231" s="7" t="s">
        <v>3590</v>
      </c>
      <c r="O231" s="13" t="s">
        <v>270</v>
      </c>
      <c r="P231" s="115" t="s">
        <v>769</v>
      </c>
      <c r="Q231" s="8" t="s">
        <v>770</v>
      </c>
      <c r="R231" s="2">
        <v>1</v>
      </c>
      <c r="S231" s="9">
        <v>920</v>
      </c>
      <c r="T231" s="10">
        <f t="shared" si="32"/>
        <v>460</v>
      </c>
      <c r="U231" s="9">
        <v>2</v>
      </c>
      <c r="V231" s="10">
        <f t="shared" si="33"/>
        <v>458</v>
      </c>
      <c r="W231" s="4" t="s">
        <v>122</v>
      </c>
      <c r="X231" s="2"/>
      <c r="Y231" s="11">
        <v>4</v>
      </c>
      <c r="Z231" s="12">
        <f t="shared" si="34"/>
        <v>9</v>
      </c>
      <c r="AA231" s="4" t="s">
        <v>120</v>
      </c>
      <c r="AC231" s="176">
        <f t="shared" si="35"/>
        <v>1.8181818181818182E-3</v>
      </c>
    </row>
    <row r="232" spans="1:29" customFormat="1">
      <c r="A232" s="181"/>
      <c r="B232" s="183">
        <f t="shared" si="36"/>
        <v>6</v>
      </c>
      <c r="C232" s="107" t="str">
        <f t="shared" si="37"/>
        <v>ATK</v>
      </c>
      <c r="D232" s="2" t="s">
        <v>768</v>
      </c>
      <c r="E232" s="3">
        <v>43865</v>
      </c>
      <c r="F232" s="3">
        <v>43867</v>
      </c>
      <c r="G232" s="108">
        <f t="shared" si="38"/>
        <v>2</v>
      </c>
      <c r="H232" s="108" t="str">
        <f t="shared" si="39"/>
        <v>완료</v>
      </c>
      <c r="I232" s="112" t="s">
        <v>218</v>
      </c>
      <c r="J232" s="4" t="s">
        <v>118</v>
      </c>
      <c r="K232" s="5" t="s">
        <v>134</v>
      </c>
      <c r="L232" s="6" t="str">
        <f t="shared" si="31"/>
        <v>2T1</v>
      </c>
      <c r="M232" s="13" t="s">
        <v>270</v>
      </c>
      <c r="N232" s="7" t="s">
        <v>3560</v>
      </c>
      <c r="O232" s="13" t="s">
        <v>270</v>
      </c>
      <c r="P232" s="115" t="s">
        <v>771</v>
      </c>
      <c r="Q232" s="8" t="s">
        <v>772</v>
      </c>
      <c r="R232" s="2">
        <v>1</v>
      </c>
      <c r="S232" s="9">
        <v>920</v>
      </c>
      <c r="T232" s="10">
        <f t="shared" si="32"/>
        <v>460</v>
      </c>
      <c r="U232" s="9">
        <v>30</v>
      </c>
      <c r="V232" s="10">
        <f t="shared" si="33"/>
        <v>430</v>
      </c>
      <c r="W232" s="4" t="s">
        <v>122</v>
      </c>
      <c r="X232" s="2"/>
      <c r="Y232" s="11">
        <v>6</v>
      </c>
      <c r="Z232" s="12">
        <f t="shared" si="34"/>
        <v>2</v>
      </c>
      <c r="AA232" s="4" t="s">
        <v>120</v>
      </c>
      <c r="AC232" s="176">
        <f t="shared" si="35"/>
        <v>2.7272727272727271E-2</v>
      </c>
    </row>
    <row r="233" spans="1:29" customFormat="1">
      <c r="A233" s="181"/>
      <c r="B233" s="183">
        <f t="shared" si="36"/>
        <v>6</v>
      </c>
      <c r="C233" s="107" t="str">
        <f t="shared" si="37"/>
        <v>ATK</v>
      </c>
      <c r="D233" s="2" t="s">
        <v>773</v>
      </c>
      <c r="E233" s="3">
        <v>43868</v>
      </c>
      <c r="F233" s="3">
        <v>43868</v>
      </c>
      <c r="G233" s="108">
        <f t="shared" si="38"/>
        <v>2</v>
      </c>
      <c r="H233" s="108" t="str">
        <f t="shared" si="39"/>
        <v>완료</v>
      </c>
      <c r="I233" s="112" t="s">
        <v>218</v>
      </c>
      <c r="J233" s="4" t="s">
        <v>132</v>
      </c>
      <c r="K233" s="5" t="s">
        <v>322</v>
      </c>
      <c r="L233" s="6" t="str">
        <f t="shared" si="31"/>
        <v>3T1</v>
      </c>
      <c r="M233" s="13" t="s">
        <v>774</v>
      </c>
      <c r="N233" s="7" t="s">
        <v>3591</v>
      </c>
      <c r="O233" s="13" t="s">
        <v>543</v>
      </c>
      <c r="P233" s="115" t="s">
        <v>775</v>
      </c>
      <c r="Q233" s="8" t="s">
        <v>776</v>
      </c>
      <c r="R233" s="2">
        <v>1</v>
      </c>
      <c r="S233" s="9">
        <v>450</v>
      </c>
      <c r="T233" s="10">
        <f t="shared" si="32"/>
        <v>225</v>
      </c>
      <c r="U233" s="9">
        <v>1</v>
      </c>
      <c r="V233" s="10">
        <f t="shared" si="33"/>
        <v>224</v>
      </c>
      <c r="W233" s="4" t="s">
        <v>122</v>
      </c>
      <c r="X233" s="2"/>
      <c r="Y233" s="11">
        <v>3</v>
      </c>
      <c r="Z233" s="12">
        <f t="shared" si="34"/>
        <v>0</v>
      </c>
      <c r="AA233" s="4" t="s">
        <v>120</v>
      </c>
      <c r="AC233" s="176">
        <f t="shared" si="35"/>
        <v>9.0909090909090909E-4</v>
      </c>
    </row>
    <row r="234" spans="1:29" customFormat="1">
      <c r="A234" s="181"/>
      <c r="B234" s="183">
        <f t="shared" si="36"/>
        <v>6</v>
      </c>
      <c r="C234" s="107" t="str">
        <f t="shared" si="37"/>
        <v>ATK</v>
      </c>
      <c r="D234" s="2" t="s">
        <v>777</v>
      </c>
      <c r="E234" s="3">
        <v>43864</v>
      </c>
      <c r="F234" s="3">
        <v>43868</v>
      </c>
      <c r="G234" s="108">
        <f t="shared" si="38"/>
        <v>2</v>
      </c>
      <c r="H234" s="108" t="str">
        <f t="shared" si="39"/>
        <v>완료</v>
      </c>
      <c r="I234" s="112" t="s">
        <v>218</v>
      </c>
      <c r="J234" s="4" t="s">
        <v>121</v>
      </c>
      <c r="K234" s="5" t="s">
        <v>229</v>
      </c>
      <c r="L234" s="6" t="str">
        <f t="shared" si="31"/>
        <v>5T2</v>
      </c>
      <c r="M234" s="13" t="s">
        <v>270</v>
      </c>
      <c r="N234" s="7" t="s">
        <v>3560</v>
      </c>
      <c r="O234" s="13" t="s">
        <v>270</v>
      </c>
      <c r="P234" s="115" t="s">
        <v>778</v>
      </c>
      <c r="Q234" s="8" t="s">
        <v>779</v>
      </c>
      <c r="R234" s="2">
        <v>1</v>
      </c>
      <c r="S234" s="9">
        <v>770</v>
      </c>
      <c r="T234" s="10">
        <f t="shared" si="32"/>
        <v>385</v>
      </c>
      <c r="U234" s="9">
        <v>0</v>
      </c>
      <c r="V234" s="10">
        <f t="shared" si="33"/>
        <v>385</v>
      </c>
      <c r="W234" s="4" t="s">
        <v>122</v>
      </c>
      <c r="X234" s="2"/>
      <c r="Y234" s="11">
        <v>3</v>
      </c>
      <c r="Z234" s="12">
        <f t="shared" si="34"/>
        <v>4</v>
      </c>
      <c r="AA234" s="4" t="s">
        <v>120</v>
      </c>
      <c r="AC234" s="176">
        <f t="shared" si="35"/>
        <v>0</v>
      </c>
    </row>
    <row r="235" spans="1:29" customFormat="1">
      <c r="A235" s="181"/>
      <c r="B235" s="183">
        <f t="shared" si="36"/>
        <v>6</v>
      </c>
      <c r="C235" s="107" t="str">
        <f t="shared" si="37"/>
        <v>ATK</v>
      </c>
      <c r="D235" s="2" t="s">
        <v>773</v>
      </c>
      <c r="E235" s="3">
        <v>43868</v>
      </c>
      <c r="F235" s="3">
        <v>43868</v>
      </c>
      <c r="G235" s="108">
        <f t="shared" si="38"/>
        <v>2</v>
      </c>
      <c r="H235" s="108" t="str">
        <f t="shared" si="39"/>
        <v>완료</v>
      </c>
      <c r="I235" s="112" t="s">
        <v>218</v>
      </c>
      <c r="J235" s="4" t="s">
        <v>132</v>
      </c>
      <c r="K235" s="5" t="s">
        <v>322</v>
      </c>
      <c r="L235" s="6" t="str">
        <f t="shared" si="31"/>
        <v>3T1</v>
      </c>
      <c r="M235" s="13"/>
      <c r="N235" s="7" t="s">
        <v>3546</v>
      </c>
      <c r="O235" s="13" t="s">
        <v>780</v>
      </c>
      <c r="P235" s="115"/>
      <c r="Q235" s="8"/>
      <c r="R235" s="2">
        <v>1</v>
      </c>
      <c r="S235" s="9">
        <v>900</v>
      </c>
      <c r="T235" s="10">
        <f t="shared" si="32"/>
        <v>450</v>
      </c>
      <c r="U235" s="9">
        <v>65</v>
      </c>
      <c r="V235" s="10">
        <f t="shared" si="33"/>
        <v>385</v>
      </c>
      <c r="W235" s="4" t="s">
        <v>122</v>
      </c>
      <c r="X235" s="2"/>
      <c r="Y235" s="11">
        <v>1</v>
      </c>
      <c r="Z235" s="12">
        <f t="shared" si="34"/>
        <v>0</v>
      </c>
      <c r="AA235" s="4" t="s">
        <v>117</v>
      </c>
      <c r="AC235" s="176">
        <f t="shared" si="35"/>
        <v>5.909090909090909E-2</v>
      </c>
    </row>
    <row r="236" spans="1:29" customFormat="1">
      <c r="A236" s="181"/>
      <c r="B236" s="183">
        <f t="shared" si="36"/>
        <v>12</v>
      </c>
      <c r="C236" s="107" t="str">
        <f t="shared" si="37"/>
        <v>ATK</v>
      </c>
      <c r="D236" s="2" t="s">
        <v>781</v>
      </c>
      <c r="E236" s="3">
        <v>43867</v>
      </c>
      <c r="F236" s="3">
        <v>43906</v>
      </c>
      <c r="G236" s="108">
        <f t="shared" si="38"/>
        <v>3</v>
      </c>
      <c r="H236" s="108" t="str">
        <f t="shared" si="39"/>
        <v>완료</v>
      </c>
      <c r="I236" s="112" t="s">
        <v>218</v>
      </c>
      <c r="J236" s="4" t="s">
        <v>808</v>
      </c>
      <c r="K236" s="5" t="s">
        <v>833</v>
      </c>
      <c r="L236" s="6" t="str">
        <f t="shared" si="31"/>
        <v>1T3</v>
      </c>
      <c r="M236" s="13"/>
      <c r="N236" s="7" t="s">
        <v>3592</v>
      </c>
      <c r="O236" s="13" t="s">
        <v>782</v>
      </c>
      <c r="P236" s="115" t="s">
        <v>783</v>
      </c>
      <c r="Q236" s="8"/>
      <c r="R236" s="2">
        <v>1</v>
      </c>
      <c r="S236" s="9">
        <v>1200</v>
      </c>
      <c r="T236" s="10">
        <f t="shared" si="32"/>
        <v>600</v>
      </c>
      <c r="U236" s="9"/>
      <c r="V236" s="10">
        <f t="shared" si="33"/>
        <v>600</v>
      </c>
      <c r="W236" s="4" t="s">
        <v>122</v>
      </c>
      <c r="X236" s="2"/>
      <c r="Y236" s="11">
        <v>8</v>
      </c>
      <c r="Z236" s="12">
        <f t="shared" si="34"/>
        <v>39</v>
      </c>
      <c r="AA236" s="4" t="s">
        <v>212</v>
      </c>
      <c r="AC236" s="176">
        <f t="shared" si="35"/>
        <v>0</v>
      </c>
    </row>
    <row r="237" spans="1:29" customFormat="1">
      <c r="A237" s="181"/>
      <c r="B237" s="183">
        <f t="shared" si="36"/>
        <v>7</v>
      </c>
      <c r="C237" s="107" t="str">
        <f t="shared" si="37"/>
        <v>ATK</v>
      </c>
      <c r="D237" s="2" t="s">
        <v>777</v>
      </c>
      <c r="E237" s="3">
        <v>43868</v>
      </c>
      <c r="F237" s="3">
        <v>43871</v>
      </c>
      <c r="G237" s="108">
        <f t="shared" si="38"/>
        <v>2</v>
      </c>
      <c r="H237" s="108" t="str">
        <f t="shared" si="39"/>
        <v>완료</v>
      </c>
      <c r="I237" s="112" t="s">
        <v>218</v>
      </c>
      <c r="J237" s="4" t="s">
        <v>121</v>
      </c>
      <c r="K237" s="5" t="s">
        <v>229</v>
      </c>
      <c r="L237" s="6" t="str">
        <f t="shared" si="31"/>
        <v>5T2</v>
      </c>
      <c r="M237" s="13"/>
      <c r="N237" s="7" t="s">
        <v>3593</v>
      </c>
      <c r="O237" s="13" t="s">
        <v>787</v>
      </c>
      <c r="P237" s="115" t="s">
        <v>803</v>
      </c>
      <c r="Q237" s="8"/>
      <c r="R237" s="2">
        <v>1</v>
      </c>
      <c r="S237" s="9">
        <v>500</v>
      </c>
      <c r="T237" s="10">
        <f t="shared" si="32"/>
        <v>250</v>
      </c>
      <c r="U237" s="9">
        <v>10</v>
      </c>
      <c r="V237" s="10">
        <f t="shared" si="33"/>
        <v>240</v>
      </c>
      <c r="W237" s="4" t="s">
        <v>122</v>
      </c>
      <c r="X237" s="2"/>
      <c r="Y237" s="11">
        <v>8</v>
      </c>
      <c r="Z237" s="12">
        <f t="shared" si="34"/>
        <v>3</v>
      </c>
      <c r="AA237" s="4" t="s">
        <v>212</v>
      </c>
      <c r="AC237" s="176">
        <f t="shared" si="35"/>
        <v>9.0909090909090905E-3</v>
      </c>
    </row>
    <row r="238" spans="1:29" customFormat="1">
      <c r="A238" s="181"/>
      <c r="B238" s="183">
        <f t="shared" si="36"/>
        <v>6</v>
      </c>
      <c r="C238" s="107" t="str">
        <f t="shared" si="37"/>
        <v>ATK</v>
      </c>
      <c r="D238" s="2" t="s">
        <v>255</v>
      </c>
      <c r="E238" s="3">
        <v>43868</v>
      </c>
      <c r="F238" s="3">
        <v>43868</v>
      </c>
      <c r="G238" s="108">
        <f t="shared" si="38"/>
        <v>2</v>
      </c>
      <c r="H238" s="108" t="str">
        <f t="shared" si="39"/>
        <v>완료</v>
      </c>
      <c r="I238" s="112" t="s">
        <v>218</v>
      </c>
      <c r="J238" s="4" t="s">
        <v>127</v>
      </c>
      <c r="K238" s="5" t="s">
        <v>135</v>
      </c>
      <c r="L238" s="6" t="str">
        <f t="shared" si="31"/>
        <v>1T3</v>
      </c>
      <c r="M238" s="13" t="s">
        <v>256</v>
      </c>
      <c r="N238" s="13" t="s">
        <v>3594</v>
      </c>
      <c r="O238" s="13" t="s">
        <v>478</v>
      </c>
      <c r="P238" s="115" t="s">
        <v>479</v>
      </c>
      <c r="Q238" s="8"/>
      <c r="R238" s="2">
        <v>1</v>
      </c>
      <c r="S238" s="9">
        <v>1600</v>
      </c>
      <c r="T238" s="10">
        <f t="shared" si="32"/>
        <v>800</v>
      </c>
      <c r="U238" s="9">
        <v>50</v>
      </c>
      <c r="V238" s="10">
        <f t="shared" si="33"/>
        <v>750</v>
      </c>
      <c r="W238" s="4" t="s">
        <v>122</v>
      </c>
      <c r="X238" s="2"/>
      <c r="Y238" s="11">
        <v>2</v>
      </c>
      <c r="Z238" s="12">
        <f t="shared" si="34"/>
        <v>0</v>
      </c>
      <c r="AA238" s="4" t="s">
        <v>27</v>
      </c>
      <c r="AC238" s="176">
        <f t="shared" si="35"/>
        <v>4.5454545454545456E-2</v>
      </c>
    </row>
    <row r="239" spans="1:29" customFormat="1">
      <c r="A239" s="181"/>
      <c r="B239" s="183">
        <f t="shared" si="36"/>
        <v>10</v>
      </c>
      <c r="C239" s="107" t="str">
        <f t="shared" si="37"/>
        <v>ATK</v>
      </c>
      <c r="D239" s="2" t="s">
        <v>512</v>
      </c>
      <c r="E239" s="3">
        <v>43871</v>
      </c>
      <c r="F239" s="3">
        <v>43895</v>
      </c>
      <c r="G239" s="108">
        <f t="shared" si="38"/>
        <v>3</v>
      </c>
      <c r="H239" s="108" t="str">
        <f t="shared" si="39"/>
        <v>완료</v>
      </c>
      <c r="I239" s="112" t="s">
        <v>218</v>
      </c>
      <c r="J239" s="4" t="s">
        <v>481</v>
      </c>
      <c r="K239" s="5" t="s">
        <v>695</v>
      </c>
      <c r="L239" s="6" t="str">
        <f t="shared" si="31"/>
        <v>2T2</v>
      </c>
      <c r="M239" s="13" t="s">
        <v>256</v>
      </c>
      <c r="N239" s="13" t="s">
        <v>3594</v>
      </c>
      <c r="O239" s="13" t="s">
        <v>478</v>
      </c>
      <c r="P239" s="115" t="s">
        <v>479</v>
      </c>
      <c r="Q239" s="8"/>
      <c r="R239" s="2">
        <v>1</v>
      </c>
      <c r="S239" s="9">
        <v>1600</v>
      </c>
      <c r="T239" s="10">
        <f t="shared" si="32"/>
        <v>800</v>
      </c>
      <c r="U239" s="9">
        <v>50</v>
      </c>
      <c r="V239" s="10">
        <f t="shared" si="33"/>
        <v>750</v>
      </c>
      <c r="W239" s="4" t="s">
        <v>122</v>
      </c>
      <c r="X239" s="2"/>
      <c r="Y239" s="11">
        <v>4</v>
      </c>
      <c r="Z239" s="12">
        <f t="shared" si="34"/>
        <v>24</v>
      </c>
      <c r="AA239" s="4" t="s">
        <v>27</v>
      </c>
      <c r="AC239" s="176">
        <f t="shared" si="35"/>
        <v>4.5454545454545456E-2</v>
      </c>
    </row>
    <row r="240" spans="1:29" customFormat="1">
      <c r="A240" s="181"/>
      <c r="B240" s="183">
        <f t="shared" si="36"/>
        <v>7</v>
      </c>
      <c r="C240" s="107" t="str">
        <f t="shared" si="37"/>
        <v>ATK</v>
      </c>
      <c r="D240" s="2" t="s">
        <v>617</v>
      </c>
      <c r="E240" s="3">
        <v>43871</v>
      </c>
      <c r="F240" s="3">
        <v>43871</v>
      </c>
      <c r="G240" s="108">
        <f t="shared" si="38"/>
        <v>2</v>
      </c>
      <c r="H240" s="108" t="str">
        <f t="shared" si="39"/>
        <v>완료</v>
      </c>
      <c r="I240" s="112" t="s">
        <v>218</v>
      </c>
      <c r="J240" s="4" t="s">
        <v>281</v>
      </c>
      <c r="K240" s="5" t="s">
        <v>332</v>
      </c>
      <c r="L240" s="6" t="str">
        <f t="shared" si="31"/>
        <v>EE2</v>
      </c>
      <c r="M240" s="13" t="s">
        <v>256</v>
      </c>
      <c r="N240" s="7" t="s">
        <v>3529</v>
      </c>
      <c r="O240" s="13" t="s">
        <v>602</v>
      </c>
      <c r="P240" s="115"/>
      <c r="Q240" s="8"/>
      <c r="R240" s="2">
        <v>1</v>
      </c>
      <c r="S240" s="9">
        <v>4500</v>
      </c>
      <c r="T240" s="10">
        <f t="shared" si="32"/>
        <v>2250</v>
      </c>
      <c r="U240" s="9">
        <v>50</v>
      </c>
      <c r="V240" s="10">
        <f t="shared" si="33"/>
        <v>2200</v>
      </c>
      <c r="W240" s="4" t="s">
        <v>122</v>
      </c>
      <c r="X240" s="2"/>
      <c r="Y240" s="11">
        <v>6</v>
      </c>
      <c r="Z240" s="12">
        <f t="shared" si="34"/>
        <v>0</v>
      </c>
      <c r="AA240" s="4" t="s">
        <v>27</v>
      </c>
      <c r="AC240" s="176">
        <f t="shared" si="35"/>
        <v>4.5454545454545456E-2</v>
      </c>
    </row>
    <row r="241" spans="1:29" customFormat="1">
      <c r="A241" s="181"/>
      <c r="B241" s="183">
        <f t="shared" si="36"/>
        <v>7</v>
      </c>
      <c r="C241" s="107" t="str">
        <f t="shared" si="37"/>
        <v>ATK</v>
      </c>
      <c r="D241" s="2" t="s">
        <v>785</v>
      </c>
      <c r="E241" s="3">
        <v>43871</v>
      </c>
      <c r="F241" s="3">
        <v>43871</v>
      </c>
      <c r="G241" s="108">
        <f t="shared" si="38"/>
        <v>2</v>
      </c>
      <c r="H241" s="108" t="str">
        <f t="shared" si="39"/>
        <v>완료</v>
      </c>
      <c r="I241" s="112" t="s">
        <v>218</v>
      </c>
      <c r="J241" s="4" t="s">
        <v>121</v>
      </c>
      <c r="K241" s="5" t="s">
        <v>229</v>
      </c>
      <c r="L241" s="6" t="str">
        <f t="shared" si="31"/>
        <v>5T2</v>
      </c>
      <c r="M241" s="13"/>
      <c r="N241" s="7" t="s">
        <v>3593</v>
      </c>
      <c r="O241" s="13" t="s">
        <v>787</v>
      </c>
      <c r="P241" s="115" t="s">
        <v>788</v>
      </c>
      <c r="Q241" s="8"/>
      <c r="R241" s="2">
        <v>2</v>
      </c>
      <c r="S241" s="9">
        <v>500</v>
      </c>
      <c r="T241" s="10">
        <f t="shared" si="32"/>
        <v>500</v>
      </c>
      <c r="U241" s="9">
        <v>10</v>
      </c>
      <c r="V241" s="10">
        <f t="shared" si="33"/>
        <v>490</v>
      </c>
      <c r="W241" s="4" t="s">
        <v>122</v>
      </c>
      <c r="X241" s="2"/>
      <c r="Y241" s="11">
        <v>4</v>
      </c>
      <c r="Z241" s="12">
        <f t="shared" si="34"/>
        <v>0</v>
      </c>
      <c r="AA241" s="4" t="s">
        <v>259</v>
      </c>
      <c r="AC241" s="176">
        <f t="shared" si="35"/>
        <v>9.0909090909090905E-3</v>
      </c>
    </row>
    <row r="242" spans="1:29" customFormat="1">
      <c r="A242" s="181"/>
      <c r="B242" s="183">
        <f t="shared" si="36"/>
        <v>7</v>
      </c>
      <c r="C242" s="107" t="str">
        <f t="shared" si="37"/>
        <v>ATK</v>
      </c>
      <c r="D242" s="2" t="s">
        <v>790</v>
      </c>
      <c r="E242" s="3">
        <v>43871</v>
      </c>
      <c r="F242" s="3">
        <v>43871</v>
      </c>
      <c r="G242" s="108">
        <f t="shared" si="38"/>
        <v>2</v>
      </c>
      <c r="H242" s="108" t="str">
        <f t="shared" si="39"/>
        <v>완료</v>
      </c>
      <c r="I242" s="112" t="s">
        <v>791</v>
      </c>
      <c r="J242" s="4" t="s">
        <v>792</v>
      </c>
      <c r="K242" s="5" t="s">
        <v>793</v>
      </c>
      <c r="L242" s="6" t="str">
        <f t="shared" si="31"/>
        <v>3T3</v>
      </c>
      <c r="M242" s="13" t="s">
        <v>207</v>
      </c>
      <c r="N242" s="7" t="s">
        <v>3588</v>
      </c>
      <c r="O242" s="13" t="s">
        <v>339</v>
      </c>
      <c r="P242" s="115" t="s">
        <v>794</v>
      </c>
      <c r="Q242" s="8"/>
      <c r="R242" s="2">
        <v>1</v>
      </c>
      <c r="S242" s="9">
        <v>2000</v>
      </c>
      <c r="T242" s="10">
        <f t="shared" si="32"/>
        <v>1000</v>
      </c>
      <c r="U242" s="9">
        <v>50</v>
      </c>
      <c r="V242" s="10">
        <f t="shared" si="33"/>
        <v>950</v>
      </c>
      <c r="W242" s="4" t="s">
        <v>795</v>
      </c>
      <c r="X242" s="2"/>
      <c r="Y242" s="11">
        <v>4</v>
      </c>
      <c r="Z242" s="12">
        <f t="shared" si="34"/>
        <v>0</v>
      </c>
      <c r="AA242" s="4" t="s">
        <v>796</v>
      </c>
      <c r="AC242" s="176">
        <f t="shared" si="35"/>
        <v>4.5454545454545456E-2</v>
      </c>
    </row>
    <row r="243" spans="1:29" customFormat="1">
      <c r="A243" s="181"/>
      <c r="B243" s="183">
        <f t="shared" si="36"/>
        <v>8</v>
      </c>
      <c r="C243" s="107" t="str">
        <f t="shared" si="37"/>
        <v>ATK</v>
      </c>
      <c r="D243" s="2" t="s">
        <v>797</v>
      </c>
      <c r="E243" s="3">
        <v>43871</v>
      </c>
      <c r="F243" s="3">
        <v>43880</v>
      </c>
      <c r="G243" s="108">
        <f t="shared" si="38"/>
        <v>2</v>
      </c>
      <c r="H243" s="108" t="str">
        <f t="shared" si="39"/>
        <v>완료</v>
      </c>
      <c r="I243" s="112" t="s">
        <v>218</v>
      </c>
      <c r="J243" s="4" t="s">
        <v>121</v>
      </c>
      <c r="K243" s="5" t="s">
        <v>229</v>
      </c>
      <c r="L243" s="6" t="str">
        <f t="shared" si="31"/>
        <v>5T2</v>
      </c>
      <c r="M243" s="13" t="s">
        <v>798</v>
      </c>
      <c r="N243" s="7" t="s">
        <v>3595</v>
      </c>
      <c r="O243" s="13" t="s">
        <v>799</v>
      </c>
      <c r="P243" s="115" t="s">
        <v>801</v>
      </c>
      <c r="Q243" s="8"/>
      <c r="R243" s="2">
        <v>1</v>
      </c>
      <c r="S243" s="9">
        <v>2000</v>
      </c>
      <c r="T243" s="10">
        <f t="shared" si="32"/>
        <v>1000</v>
      </c>
      <c r="U243" s="9"/>
      <c r="V243" s="10">
        <f t="shared" si="33"/>
        <v>1000</v>
      </c>
      <c r="W243" s="4" t="s">
        <v>122</v>
      </c>
      <c r="X243" s="2"/>
      <c r="Y243" s="11">
        <v>6</v>
      </c>
      <c r="Z243" s="12">
        <f t="shared" si="34"/>
        <v>9</v>
      </c>
      <c r="AA243" s="4" t="s">
        <v>212</v>
      </c>
      <c r="AC243" s="176">
        <f t="shared" si="35"/>
        <v>0</v>
      </c>
    </row>
    <row r="244" spans="1:29" customFormat="1">
      <c r="A244" s="181"/>
      <c r="B244" s="183">
        <f t="shared" si="36"/>
        <v>7</v>
      </c>
      <c r="C244" s="107" t="str">
        <f t="shared" si="37"/>
        <v>ATK</v>
      </c>
      <c r="D244" s="2" t="s">
        <v>797</v>
      </c>
      <c r="E244" s="3">
        <v>43871</v>
      </c>
      <c r="F244" s="3">
        <v>43872</v>
      </c>
      <c r="G244" s="108">
        <f t="shared" si="38"/>
        <v>2</v>
      </c>
      <c r="H244" s="108" t="str">
        <f t="shared" si="39"/>
        <v>완료</v>
      </c>
      <c r="I244" s="112" t="s">
        <v>218</v>
      </c>
      <c r="J244" s="4" t="s">
        <v>121</v>
      </c>
      <c r="K244" s="5" t="s">
        <v>229</v>
      </c>
      <c r="L244" s="6" t="str">
        <f t="shared" si="31"/>
        <v>5T2</v>
      </c>
      <c r="M244" s="13" t="s">
        <v>798</v>
      </c>
      <c r="N244" s="7" t="s">
        <v>3595</v>
      </c>
      <c r="O244" s="13" t="s">
        <v>800</v>
      </c>
      <c r="P244" s="115" t="s">
        <v>802</v>
      </c>
      <c r="Q244" s="8"/>
      <c r="R244" s="2">
        <v>1</v>
      </c>
      <c r="S244" s="9">
        <v>3000</v>
      </c>
      <c r="T244" s="10">
        <f t="shared" si="32"/>
        <v>1500</v>
      </c>
      <c r="U244" s="9">
        <v>20</v>
      </c>
      <c r="V244" s="10">
        <f t="shared" si="33"/>
        <v>1480</v>
      </c>
      <c r="W244" s="4" t="s">
        <v>122</v>
      </c>
      <c r="X244" s="2"/>
      <c r="Y244" s="11">
        <v>8</v>
      </c>
      <c r="Z244" s="12">
        <f t="shared" si="34"/>
        <v>1</v>
      </c>
      <c r="AA244" s="4" t="s">
        <v>212</v>
      </c>
      <c r="AC244" s="176">
        <f t="shared" si="35"/>
        <v>1.8181818181818181E-2</v>
      </c>
    </row>
    <row r="245" spans="1:29" customFormat="1">
      <c r="A245" s="181"/>
      <c r="B245" s="183">
        <f t="shared" si="36"/>
        <v>7</v>
      </c>
      <c r="C245" s="107" t="str">
        <f t="shared" si="37"/>
        <v>ATK</v>
      </c>
      <c r="D245" s="2" t="s">
        <v>241</v>
      </c>
      <c r="E245" s="3">
        <v>43871</v>
      </c>
      <c r="F245" s="3">
        <v>43874</v>
      </c>
      <c r="G245" s="108">
        <f t="shared" si="38"/>
        <v>2</v>
      </c>
      <c r="H245" s="108" t="str">
        <f t="shared" si="39"/>
        <v>Other</v>
      </c>
      <c r="I245" s="112" t="s">
        <v>660</v>
      </c>
      <c r="J245" s="4" t="s">
        <v>804</v>
      </c>
      <c r="K245" s="5" t="s">
        <v>805</v>
      </c>
      <c r="L245" s="6" t="str">
        <f t="shared" si="31"/>
        <v>5T1</v>
      </c>
      <c r="M245" s="13" t="s">
        <v>207</v>
      </c>
      <c r="N245" s="7" t="s">
        <v>3596</v>
      </c>
      <c r="O245" s="13" t="s">
        <v>339</v>
      </c>
      <c r="P245" s="115" t="s">
        <v>806</v>
      </c>
      <c r="Q245" s="8"/>
      <c r="R245" s="2">
        <v>1</v>
      </c>
      <c r="S245" s="9">
        <v>3000</v>
      </c>
      <c r="T245" s="10">
        <f t="shared" si="32"/>
        <v>1500</v>
      </c>
      <c r="U245" s="9">
        <v>0</v>
      </c>
      <c r="V245" s="10">
        <f t="shared" si="33"/>
        <v>1500</v>
      </c>
      <c r="W245" s="4" t="s">
        <v>857</v>
      </c>
      <c r="X245" s="2"/>
      <c r="Y245" s="11">
        <v>4</v>
      </c>
      <c r="Z245" s="12">
        <f t="shared" si="34"/>
        <v>3</v>
      </c>
      <c r="AA245" s="4" t="s">
        <v>174</v>
      </c>
      <c r="AC245" s="176">
        <f t="shared" si="35"/>
        <v>0</v>
      </c>
    </row>
    <row r="246" spans="1:29" customFormat="1">
      <c r="A246" s="181"/>
      <c r="B246" s="183">
        <f t="shared" si="36"/>
        <v>7</v>
      </c>
      <c r="C246" s="107" t="str">
        <f t="shared" si="37"/>
        <v>ATK</v>
      </c>
      <c r="D246" s="2" t="s">
        <v>784</v>
      </c>
      <c r="E246" s="3">
        <v>43867</v>
      </c>
      <c r="F246" s="3">
        <v>43873</v>
      </c>
      <c r="G246" s="108">
        <f t="shared" si="38"/>
        <v>2</v>
      </c>
      <c r="H246" s="108" t="str">
        <f t="shared" si="39"/>
        <v>완료</v>
      </c>
      <c r="I246" s="112" t="s">
        <v>218</v>
      </c>
      <c r="J246" s="4" t="s">
        <v>265</v>
      </c>
      <c r="K246" s="5" t="s">
        <v>793</v>
      </c>
      <c r="L246" s="6" t="str">
        <f t="shared" si="31"/>
        <v>3T3</v>
      </c>
      <c r="M246" s="13" t="s">
        <v>207</v>
      </c>
      <c r="N246" s="7" t="s">
        <v>3597</v>
      </c>
      <c r="O246" s="13" t="s">
        <v>339</v>
      </c>
      <c r="P246" s="115" t="s">
        <v>807</v>
      </c>
      <c r="Q246" s="8"/>
      <c r="R246" s="2">
        <v>1</v>
      </c>
      <c r="S246" s="9">
        <v>2500</v>
      </c>
      <c r="T246" s="10">
        <f t="shared" si="32"/>
        <v>1250</v>
      </c>
      <c r="U246" s="9">
        <v>25</v>
      </c>
      <c r="V246" s="10">
        <f t="shared" si="33"/>
        <v>1225</v>
      </c>
      <c r="W246" s="4" t="s">
        <v>830</v>
      </c>
      <c r="X246" s="2"/>
      <c r="Y246" s="11">
        <v>12</v>
      </c>
      <c r="Z246" s="12">
        <f t="shared" si="34"/>
        <v>6</v>
      </c>
      <c r="AA246" s="4" t="s">
        <v>174</v>
      </c>
      <c r="AC246" s="176">
        <f t="shared" si="35"/>
        <v>2.2727272727272728E-2</v>
      </c>
    </row>
    <row r="247" spans="1:29" customFormat="1">
      <c r="A247" s="181"/>
      <c r="B247" s="183">
        <f t="shared" si="36"/>
        <v>7</v>
      </c>
      <c r="C247" s="107" t="str">
        <f t="shared" si="37"/>
        <v>ATK</v>
      </c>
      <c r="D247" s="2" t="s">
        <v>272</v>
      </c>
      <c r="E247" s="3">
        <v>43867</v>
      </c>
      <c r="F247" s="3">
        <v>43871</v>
      </c>
      <c r="G247" s="108">
        <f t="shared" si="38"/>
        <v>2</v>
      </c>
      <c r="H247" s="108" t="str">
        <f t="shared" si="39"/>
        <v>Other</v>
      </c>
      <c r="I247" s="112" t="s">
        <v>660</v>
      </c>
      <c r="J247" s="4" t="s">
        <v>808</v>
      </c>
      <c r="K247" s="5" t="s">
        <v>793</v>
      </c>
      <c r="L247" s="6" t="str">
        <f t="shared" si="31"/>
        <v>3T3</v>
      </c>
      <c r="M247" s="13" t="s">
        <v>270</v>
      </c>
      <c r="N247" s="7" t="s">
        <v>3598</v>
      </c>
      <c r="O247" s="13" t="s">
        <v>270</v>
      </c>
      <c r="P247" s="115" t="s">
        <v>271</v>
      </c>
      <c r="Q247" s="8" t="s">
        <v>809</v>
      </c>
      <c r="R247" s="2">
        <v>1</v>
      </c>
      <c r="S247" s="9">
        <v>0</v>
      </c>
      <c r="T247" s="10">
        <f t="shared" si="32"/>
        <v>0</v>
      </c>
      <c r="U247" s="9">
        <v>0</v>
      </c>
      <c r="V247" s="10">
        <f t="shared" si="33"/>
        <v>0</v>
      </c>
      <c r="W247" s="4" t="s">
        <v>249</v>
      </c>
      <c r="X247" s="2"/>
      <c r="Y247" s="11">
        <v>1</v>
      </c>
      <c r="Z247" s="12">
        <f t="shared" si="34"/>
        <v>4</v>
      </c>
      <c r="AA247" s="4" t="s">
        <v>174</v>
      </c>
      <c r="AC247" s="176">
        <f t="shared" si="35"/>
        <v>0</v>
      </c>
    </row>
    <row r="248" spans="1:29" customFormat="1">
      <c r="A248" s="181"/>
      <c r="B248" s="183">
        <f t="shared" si="36"/>
        <v>9</v>
      </c>
      <c r="C248" s="107" t="str">
        <f t="shared" si="37"/>
        <v>ATK</v>
      </c>
      <c r="D248" s="2" t="s">
        <v>810</v>
      </c>
      <c r="E248" s="3">
        <v>43871</v>
      </c>
      <c r="F248" s="3">
        <v>43885</v>
      </c>
      <c r="G248" s="108">
        <f t="shared" si="38"/>
        <v>2</v>
      </c>
      <c r="H248" s="108" t="str">
        <f t="shared" si="39"/>
        <v>완료</v>
      </c>
      <c r="I248" s="112" t="s">
        <v>218</v>
      </c>
      <c r="J248" s="4" t="s">
        <v>812</v>
      </c>
      <c r="K248" s="5" t="s">
        <v>811</v>
      </c>
      <c r="L248" s="6" t="str">
        <f t="shared" si="31"/>
        <v>EE2</v>
      </c>
      <c r="M248" s="13" t="s">
        <v>813</v>
      </c>
      <c r="N248" s="7" t="s">
        <v>3599</v>
      </c>
      <c r="O248" s="13" t="s">
        <v>814</v>
      </c>
      <c r="P248" s="115" t="s">
        <v>815</v>
      </c>
      <c r="Q248" s="8" t="s">
        <v>814</v>
      </c>
      <c r="R248" s="2">
        <v>1</v>
      </c>
      <c r="S248" s="9">
        <v>500</v>
      </c>
      <c r="T248" s="10">
        <f t="shared" si="32"/>
        <v>250</v>
      </c>
      <c r="U248" s="9">
        <v>3</v>
      </c>
      <c r="V248" s="10">
        <f t="shared" si="33"/>
        <v>247</v>
      </c>
      <c r="W248" s="4" t="s">
        <v>122</v>
      </c>
      <c r="X248" s="2"/>
      <c r="Y248" s="11">
        <v>1</v>
      </c>
      <c r="Z248" s="12">
        <f t="shared" si="34"/>
        <v>14</v>
      </c>
      <c r="AA248" s="4" t="s">
        <v>117</v>
      </c>
      <c r="AC248" s="176">
        <f t="shared" si="35"/>
        <v>2.7272727272727275E-3</v>
      </c>
    </row>
    <row r="249" spans="1:29" customFormat="1">
      <c r="A249" s="181"/>
      <c r="B249" s="183">
        <f t="shared" si="36"/>
        <v>7</v>
      </c>
      <c r="C249" s="107" t="str">
        <f t="shared" si="37"/>
        <v>ATK</v>
      </c>
      <c r="D249" s="2" t="s">
        <v>816</v>
      </c>
      <c r="E249" s="3">
        <v>43872</v>
      </c>
      <c r="F249" s="3">
        <v>43872</v>
      </c>
      <c r="G249" s="108">
        <f t="shared" si="38"/>
        <v>2</v>
      </c>
      <c r="H249" s="108" t="str">
        <f t="shared" si="39"/>
        <v>완료</v>
      </c>
      <c r="I249" s="112" t="s">
        <v>218</v>
      </c>
      <c r="J249" s="4" t="s">
        <v>127</v>
      </c>
      <c r="K249" s="5" t="s">
        <v>135</v>
      </c>
      <c r="L249" s="6" t="str">
        <f t="shared" si="31"/>
        <v>1T3</v>
      </c>
      <c r="M249" s="13" t="s">
        <v>256</v>
      </c>
      <c r="N249" s="7" t="s">
        <v>3600</v>
      </c>
      <c r="O249" s="13" t="s">
        <v>817</v>
      </c>
      <c r="P249" s="115"/>
      <c r="Q249" s="8" t="s">
        <v>818</v>
      </c>
      <c r="R249" s="2">
        <v>1</v>
      </c>
      <c r="S249" s="9">
        <v>3500</v>
      </c>
      <c r="T249" s="10">
        <f t="shared" si="32"/>
        <v>1750</v>
      </c>
      <c r="U249" s="9">
        <v>150</v>
      </c>
      <c r="V249" s="10">
        <f t="shared" si="33"/>
        <v>1600</v>
      </c>
      <c r="W249" s="4" t="s">
        <v>122</v>
      </c>
      <c r="X249" s="2"/>
      <c r="Y249" s="11">
        <v>8</v>
      </c>
      <c r="Z249" s="12">
        <f t="shared" si="34"/>
        <v>0</v>
      </c>
      <c r="AA249" s="4" t="s">
        <v>259</v>
      </c>
      <c r="AC249" s="176">
        <f t="shared" si="35"/>
        <v>0.13636363636363635</v>
      </c>
    </row>
    <row r="250" spans="1:29" customFormat="1">
      <c r="A250" s="181"/>
      <c r="B250" s="183">
        <f t="shared" si="36"/>
        <v>7</v>
      </c>
      <c r="C250" s="107" t="str">
        <f t="shared" si="37"/>
        <v>ATK</v>
      </c>
      <c r="D250" s="2" t="s">
        <v>295</v>
      </c>
      <c r="E250" s="3">
        <v>43872</v>
      </c>
      <c r="F250" s="3">
        <v>43872</v>
      </c>
      <c r="G250" s="108">
        <f t="shared" si="38"/>
        <v>2</v>
      </c>
      <c r="H250" s="108" t="str">
        <f t="shared" si="39"/>
        <v>완료</v>
      </c>
      <c r="I250" s="112" t="s">
        <v>218</v>
      </c>
      <c r="J250" s="4" t="s">
        <v>132</v>
      </c>
      <c r="K250" s="5" t="s">
        <v>133</v>
      </c>
      <c r="L250" s="6" t="str">
        <f t="shared" si="31"/>
        <v>3T3</v>
      </c>
      <c r="M250" s="13" t="s">
        <v>819</v>
      </c>
      <c r="N250" s="7" t="s">
        <v>3601</v>
      </c>
      <c r="O250" s="13" t="s">
        <v>820</v>
      </c>
      <c r="P250" s="115" t="s">
        <v>821</v>
      </c>
      <c r="Q250" s="8" t="s">
        <v>822</v>
      </c>
      <c r="R250" s="2">
        <v>1</v>
      </c>
      <c r="S250" s="9">
        <v>3000</v>
      </c>
      <c r="T250" s="10">
        <f t="shared" si="32"/>
        <v>1500</v>
      </c>
      <c r="U250" s="9">
        <v>2</v>
      </c>
      <c r="V250" s="10">
        <f t="shared" si="33"/>
        <v>1498</v>
      </c>
      <c r="W250" s="4" t="s">
        <v>122</v>
      </c>
      <c r="X250" s="2"/>
      <c r="Y250" s="11">
        <v>4</v>
      </c>
      <c r="Z250" s="12">
        <f t="shared" si="34"/>
        <v>0</v>
      </c>
      <c r="AA250" s="4" t="s">
        <v>120</v>
      </c>
      <c r="AC250" s="176">
        <f t="shared" si="35"/>
        <v>1.8181818181818182E-3</v>
      </c>
    </row>
    <row r="251" spans="1:29" customFormat="1">
      <c r="A251" s="181"/>
      <c r="B251" s="183">
        <f t="shared" si="36"/>
        <v>7</v>
      </c>
      <c r="C251" s="107" t="str">
        <f t="shared" si="37"/>
        <v>ATK</v>
      </c>
      <c r="D251" s="2" t="s">
        <v>272</v>
      </c>
      <c r="E251" s="3">
        <v>43872</v>
      </c>
      <c r="F251" s="3">
        <v>43872</v>
      </c>
      <c r="G251" s="108">
        <f t="shared" si="38"/>
        <v>2</v>
      </c>
      <c r="H251" s="108" t="str">
        <f t="shared" si="39"/>
        <v>완료</v>
      </c>
      <c r="I251" s="112" t="s">
        <v>218</v>
      </c>
      <c r="J251" s="4" t="s">
        <v>132</v>
      </c>
      <c r="K251" s="5" t="s">
        <v>143</v>
      </c>
      <c r="L251" s="6" t="str">
        <f t="shared" si="31"/>
        <v>3T4</v>
      </c>
      <c r="M251" s="13" t="s">
        <v>823</v>
      </c>
      <c r="N251" s="7" t="s">
        <v>3602</v>
      </c>
      <c r="O251" s="13" t="s">
        <v>824</v>
      </c>
      <c r="P251" s="115" t="s">
        <v>825</v>
      </c>
      <c r="Q251" s="8" t="s">
        <v>826</v>
      </c>
      <c r="R251" s="2">
        <v>1</v>
      </c>
      <c r="S251" s="9">
        <v>250</v>
      </c>
      <c r="T251" s="10">
        <f t="shared" si="32"/>
        <v>125</v>
      </c>
      <c r="U251" s="9">
        <v>1</v>
      </c>
      <c r="V251" s="10">
        <f t="shared" si="33"/>
        <v>124</v>
      </c>
      <c r="W251" s="4" t="s">
        <v>122</v>
      </c>
      <c r="X251" s="2"/>
      <c r="Y251" s="11">
        <v>4</v>
      </c>
      <c r="Z251" s="12">
        <f t="shared" si="34"/>
        <v>0</v>
      </c>
      <c r="AA251" s="4" t="s">
        <v>120</v>
      </c>
      <c r="AC251" s="176">
        <f t="shared" si="35"/>
        <v>9.0909090909090909E-4</v>
      </c>
    </row>
    <row r="252" spans="1:29" customFormat="1">
      <c r="A252" s="181"/>
      <c r="B252" s="183">
        <f t="shared" si="36"/>
        <v>7</v>
      </c>
      <c r="C252" s="107" t="str">
        <f t="shared" si="37"/>
        <v>ATK</v>
      </c>
      <c r="D252" s="2" t="s">
        <v>379</v>
      </c>
      <c r="E252" s="3">
        <v>43873</v>
      </c>
      <c r="F252" s="3">
        <v>43873</v>
      </c>
      <c r="G252" s="108">
        <f t="shared" si="38"/>
        <v>2</v>
      </c>
      <c r="H252" s="108" t="str">
        <f t="shared" si="39"/>
        <v>완료</v>
      </c>
      <c r="I252" s="112" t="s">
        <v>218</v>
      </c>
      <c r="J252" s="4" t="s">
        <v>132</v>
      </c>
      <c r="K252" s="5" t="s">
        <v>322</v>
      </c>
      <c r="L252" s="6" t="str">
        <f t="shared" si="31"/>
        <v>3T1</v>
      </c>
      <c r="M252" s="13" t="s">
        <v>798</v>
      </c>
      <c r="N252" s="7" t="s">
        <v>3595</v>
      </c>
      <c r="O252" s="13" t="s">
        <v>828</v>
      </c>
      <c r="P252" s="115" t="s">
        <v>827</v>
      </c>
      <c r="Q252" s="8"/>
      <c r="R252" s="2">
        <v>1</v>
      </c>
      <c r="S252" s="9">
        <v>500</v>
      </c>
      <c r="T252" s="10">
        <f t="shared" si="32"/>
        <v>250</v>
      </c>
      <c r="U252" s="9"/>
      <c r="V252" s="10">
        <f t="shared" si="33"/>
        <v>250</v>
      </c>
      <c r="W252" s="4" t="s">
        <v>122</v>
      </c>
      <c r="X252" s="2"/>
      <c r="Y252" s="11">
        <v>3</v>
      </c>
      <c r="Z252" s="12">
        <f t="shared" si="34"/>
        <v>0</v>
      </c>
      <c r="AA252" s="4" t="s">
        <v>212</v>
      </c>
      <c r="AC252" s="176">
        <f t="shared" si="35"/>
        <v>0</v>
      </c>
    </row>
    <row r="253" spans="1:29" customFormat="1">
      <c r="A253" s="181"/>
      <c r="B253" s="183">
        <f t="shared" si="36"/>
        <v>7</v>
      </c>
      <c r="C253" s="107" t="str">
        <f t="shared" si="37"/>
        <v>ATK</v>
      </c>
      <c r="D253" s="2" t="s">
        <v>241</v>
      </c>
      <c r="E253" s="3">
        <v>43873</v>
      </c>
      <c r="F253" s="3">
        <v>43873</v>
      </c>
      <c r="G253" s="108">
        <f t="shared" si="38"/>
        <v>2</v>
      </c>
      <c r="H253" s="108" t="str">
        <f t="shared" si="39"/>
        <v>완료</v>
      </c>
      <c r="I253" s="112" t="s">
        <v>218</v>
      </c>
      <c r="J253" s="4" t="s">
        <v>132</v>
      </c>
      <c r="K253" s="5" t="s">
        <v>322</v>
      </c>
      <c r="L253" s="6" t="str">
        <f t="shared" si="31"/>
        <v>3T1</v>
      </c>
      <c r="M253" s="13" t="s">
        <v>242</v>
      </c>
      <c r="N253" s="7" t="s">
        <v>3603</v>
      </c>
      <c r="O253" s="13" t="s">
        <v>685</v>
      </c>
      <c r="P253" s="115" t="s">
        <v>829</v>
      </c>
      <c r="Q253" s="8"/>
      <c r="R253" s="2">
        <v>1</v>
      </c>
      <c r="S253" s="9">
        <v>1000</v>
      </c>
      <c r="T253" s="10">
        <f t="shared" si="32"/>
        <v>500</v>
      </c>
      <c r="U253" s="9"/>
      <c r="V253" s="10">
        <f t="shared" si="33"/>
        <v>500</v>
      </c>
      <c r="W253" s="4" t="s">
        <v>122</v>
      </c>
      <c r="X253" s="2"/>
      <c r="Y253" s="11">
        <v>3</v>
      </c>
      <c r="Z253" s="12">
        <f t="shared" si="34"/>
        <v>0</v>
      </c>
      <c r="AA253" s="4" t="s">
        <v>212</v>
      </c>
      <c r="AC253" s="176">
        <f t="shared" si="35"/>
        <v>0</v>
      </c>
    </row>
    <row r="254" spans="1:29" customFormat="1">
      <c r="A254" s="181"/>
      <c r="B254" s="183">
        <f t="shared" si="36"/>
        <v>7</v>
      </c>
      <c r="C254" s="107" t="str">
        <f t="shared" si="37"/>
        <v>ATK</v>
      </c>
      <c r="D254" s="2" t="s">
        <v>831</v>
      </c>
      <c r="E254" s="3">
        <v>43873</v>
      </c>
      <c r="F254" s="3">
        <v>43873</v>
      </c>
      <c r="G254" s="108">
        <f t="shared" si="38"/>
        <v>2</v>
      </c>
      <c r="H254" s="108" t="str">
        <f t="shared" si="39"/>
        <v>완료</v>
      </c>
      <c r="I254" s="112" t="s">
        <v>264</v>
      </c>
      <c r="J254" s="4" t="s">
        <v>832</v>
      </c>
      <c r="K254" s="5" t="s">
        <v>833</v>
      </c>
      <c r="L254" s="6" t="str">
        <f t="shared" si="31"/>
        <v>1T3</v>
      </c>
      <c r="M254" s="13" t="s">
        <v>256</v>
      </c>
      <c r="N254" s="7" t="s">
        <v>3604</v>
      </c>
      <c r="O254" s="13" t="s">
        <v>834</v>
      </c>
      <c r="P254" s="115" t="s">
        <v>835</v>
      </c>
      <c r="Q254" s="8"/>
      <c r="R254" s="2">
        <v>1</v>
      </c>
      <c r="S254" s="9">
        <v>500</v>
      </c>
      <c r="T254" s="10">
        <f t="shared" si="32"/>
        <v>250</v>
      </c>
      <c r="U254" s="9"/>
      <c r="V254" s="10">
        <f t="shared" si="33"/>
        <v>250</v>
      </c>
      <c r="W254" s="4" t="s">
        <v>839</v>
      </c>
      <c r="X254" s="2"/>
      <c r="Y254" s="11">
        <v>3</v>
      </c>
      <c r="Z254" s="12">
        <f t="shared" si="34"/>
        <v>0</v>
      </c>
      <c r="AA254" s="4" t="s">
        <v>836</v>
      </c>
      <c r="AC254" s="176">
        <f t="shared" si="35"/>
        <v>0</v>
      </c>
    </row>
    <row r="255" spans="1:29" customFormat="1">
      <c r="A255" s="181"/>
      <c r="B255" s="183">
        <f t="shared" si="36"/>
        <v>8</v>
      </c>
      <c r="C255" s="107" t="str">
        <f t="shared" si="37"/>
        <v>ATK</v>
      </c>
      <c r="D255" s="2" t="s">
        <v>837</v>
      </c>
      <c r="E255" s="3">
        <v>43866</v>
      </c>
      <c r="F255" s="3">
        <v>43878</v>
      </c>
      <c r="G255" s="108">
        <f t="shared" si="38"/>
        <v>2</v>
      </c>
      <c r="H255" s="108" t="str">
        <f t="shared" si="39"/>
        <v>완료</v>
      </c>
      <c r="I255" s="112" t="s">
        <v>264</v>
      </c>
      <c r="J255" s="4" t="s">
        <v>281</v>
      </c>
      <c r="K255" s="5" t="s">
        <v>332</v>
      </c>
      <c r="L255" s="6" t="str">
        <f t="shared" si="31"/>
        <v>EE2</v>
      </c>
      <c r="M255" s="13" t="s">
        <v>256</v>
      </c>
      <c r="N255" s="13" t="s">
        <v>3529</v>
      </c>
      <c r="O255" s="7" t="s">
        <v>683</v>
      </c>
      <c r="P255" s="115" t="s">
        <v>838</v>
      </c>
      <c r="Q255" s="8"/>
      <c r="R255" s="2">
        <v>1</v>
      </c>
      <c r="S255" s="9">
        <v>3500</v>
      </c>
      <c r="T255" s="10">
        <f t="shared" si="32"/>
        <v>1750</v>
      </c>
      <c r="U255" s="9">
        <v>50</v>
      </c>
      <c r="V255" s="10">
        <f t="shared" si="33"/>
        <v>1700</v>
      </c>
      <c r="W255" s="4" t="s">
        <v>122</v>
      </c>
      <c r="X255" s="2"/>
      <c r="Y255" s="11">
        <v>4</v>
      </c>
      <c r="Z255" s="12">
        <f t="shared" si="34"/>
        <v>12</v>
      </c>
      <c r="AA255" s="4" t="s">
        <v>27</v>
      </c>
      <c r="AC255" s="176">
        <f t="shared" si="35"/>
        <v>4.5454545454545456E-2</v>
      </c>
    </row>
    <row r="256" spans="1:29" customFormat="1">
      <c r="A256" s="181"/>
      <c r="B256" s="183">
        <f t="shared" si="36"/>
        <v>7</v>
      </c>
      <c r="C256" s="107" t="str">
        <f t="shared" si="37"/>
        <v>ATK</v>
      </c>
      <c r="D256" s="2" t="s">
        <v>331</v>
      </c>
      <c r="E256" s="3">
        <v>43866</v>
      </c>
      <c r="F256" s="3">
        <v>43874</v>
      </c>
      <c r="G256" s="108">
        <f t="shared" si="38"/>
        <v>2</v>
      </c>
      <c r="H256" s="108" t="str">
        <f t="shared" si="39"/>
        <v>완료</v>
      </c>
      <c r="I256" s="112" t="s">
        <v>218</v>
      </c>
      <c r="J256" s="4" t="s">
        <v>281</v>
      </c>
      <c r="K256" s="5" t="s">
        <v>332</v>
      </c>
      <c r="L256" s="6" t="str">
        <f t="shared" si="31"/>
        <v>EE2</v>
      </c>
      <c r="M256" s="13" t="s">
        <v>256</v>
      </c>
      <c r="N256" s="13" t="s">
        <v>3529</v>
      </c>
      <c r="O256" s="13" t="s">
        <v>370</v>
      </c>
      <c r="P256" s="115" t="s">
        <v>693</v>
      </c>
      <c r="Q256" s="8"/>
      <c r="R256" s="2">
        <v>1</v>
      </c>
      <c r="S256" s="9">
        <v>2200</v>
      </c>
      <c r="T256" s="10">
        <f t="shared" si="32"/>
        <v>1100</v>
      </c>
      <c r="U256" s="9">
        <v>50</v>
      </c>
      <c r="V256" s="10">
        <f t="shared" si="33"/>
        <v>1050</v>
      </c>
      <c r="W256" s="4" t="s">
        <v>122</v>
      </c>
      <c r="X256" s="2"/>
      <c r="Y256" s="11">
        <v>4</v>
      </c>
      <c r="Z256" s="12">
        <f t="shared" si="34"/>
        <v>8</v>
      </c>
      <c r="AA256" s="4" t="s">
        <v>27</v>
      </c>
      <c r="AC256" s="176">
        <f t="shared" si="35"/>
        <v>4.5454545454545456E-2</v>
      </c>
    </row>
    <row r="257" spans="1:29" customFormat="1">
      <c r="A257" s="181"/>
      <c r="B257" s="183">
        <f t="shared" si="36"/>
        <v>7</v>
      </c>
      <c r="C257" s="107" t="str">
        <f t="shared" si="37"/>
        <v>ATK</v>
      </c>
      <c r="D257" s="2" t="s">
        <v>840</v>
      </c>
      <c r="E257" s="3">
        <v>43873</v>
      </c>
      <c r="F257" s="3">
        <v>43873</v>
      </c>
      <c r="G257" s="108">
        <f t="shared" si="38"/>
        <v>2</v>
      </c>
      <c r="H257" s="108" t="str">
        <f t="shared" si="39"/>
        <v>완료</v>
      </c>
      <c r="I257" s="112" t="s">
        <v>218</v>
      </c>
      <c r="J257" s="4" t="s">
        <v>115</v>
      </c>
      <c r="K257" s="5" t="s">
        <v>138</v>
      </c>
      <c r="L257" s="6" t="str">
        <f t="shared" si="31"/>
        <v>EE1</v>
      </c>
      <c r="M257" s="13"/>
      <c r="N257" s="7" t="s">
        <v>3512</v>
      </c>
      <c r="O257" s="13" t="s">
        <v>841</v>
      </c>
      <c r="P257" s="115" t="s">
        <v>842</v>
      </c>
      <c r="Q257" s="8"/>
      <c r="R257" s="2">
        <v>1</v>
      </c>
      <c r="S257" s="9">
        <v>600</v>
      </c>
      <c r="T257" s="10">
        <f t="shared" si="32"/>
        <v>300</v>
      </c>
      <c r="U257" s="9">
        <v>10</v>
      </c>
      <c r="V257" s="10">
        <f t="shared" si="33"/>
        <v>290</v>
      </c>
      <c r="W257" s="4" t="s">
        <v>122</v>
      </c>
      <c r="X257" s="2"/>
      <c r="Y257" s="11">
        <v>4</v>
      </c>
      <c r="Z257" s="12">
        <f t="shared" si="34"/>
        <v>0</v>
      </c>
      <c r="AA257" s="4" t="s">
        <v>259</v>
      </c>
      <c r="AC257" s="176">
        <f t="shared" si="35"/>
        <v>9.0909090909090905E-3</v>
      </c>
    </row>
    <row r="258" spans="1:29" customFormat="1">
      <c r="A258" s="181"/>
      <c r="B258" s="183">
        <f t="shared" si="36"/>
        <v>7</v>
      </c>
      <c r="C258" s="107" t="str">
        <f t="shared" si="37"/>
        <v>ATK</v>
      </c>
      <c r="D258" s="2" t="s">
        <v>843</v>
      </c>
      <c r="E258" s="3">
        <v>43872</v>
      </c>
      <c r="F258" s="3">
        <v>43873</v>
      </c>
      <c r="G258" s="108">
        <f t="shared" si="38"/>
        <v>2</v>
      </c>
      <c r="H258" s="108" t="str">
        <f t="shared" si="39"/>
        <v>완료</v>
      </c>
      <c r="I258" s="112" t="s">
        <v>218</v>
      </c>
      <c r="J258" s="4" t="s">
        <v>118</v>
      </c>
      <c r="K258" s="5" t="s">
        <v>119</v>
      </c>
      <c r="L258" s="6" t="str">
        <f t="shared" ref="L258:L321" si="40">LEFT(K258,3)</f>
        <v>2T3</v>
      </c>
      <c r="M258" s="13" t="s">
        <v>730</v>
      </c>
      <c r="N258" s="7"/>
      <c r="O258" s="13" t="s">
        <v>789</v>
      </c>
      <c r="P258" s="115" t="s">
        <v>300</v>
      </c>
      <c r="Q258" s="8"/>
      <c r="R258" s="2">
        <v>1</v>
      </c>
      <c r="S258" s="9">
        <v>900</v>
      </c>
      <c r="T258" s="10">
        <f t="shared" ref="T258:T321" si="41">(S258*50)/100*R258</f>
        <v>450</v>
      </c>
      <c r="U258" s="9">
        <v>20</v>
      </c>
      <c r="V258" s="10">
        <f t="shared" ref="V258:V321" si="42">T258-U258</f>
        <v>430</v>
      </c>
      <c r="W258" s="4" t="s">
        <v>122</v>
      </c>
      <c r="X258" s="2"/>
      <c r="Y258" s="11">
        <v>4</v>
      </c>
      <c r="Z258" s="12">
        <f t="shared" ref="Z258:Z321" si="43">F258-E258</f>
        <v>1</v>
      </c>
      <c r="AA258" s="4" t="s">
        <v>259</v>
      </c>
      <c r="AC258" s="176">
        <f t="shared" ref="AC258:AC321" si="44">U258/1100</f>
        <v>1.8181818181818181E-2</v>
      </c>
    </row>
    <row r="259" spans="1:29" customFormat="1">
      <c r="A259" s="181"/>
      <c r="B259" s="183">
        <f t="shared" ref="B259:B322" si="45">IF(F259&gt;0,IFERROR(WEEKNUM(F259),""),"")</f>
        <v>7</v>
      </c>
      <c r="C259" s="107" t="str">
        <f t="shared" ref="C259:C322" si="46">IF(D259=0,"",(IF(LEFT(D259,3)="ATK","ATK",IF(LEFT(D259,2)="AT",D259,"ATK"))))</f>
        <v>ATK</v>
      </c>
      <c r="D259" s="2" t="s">
        <v>844</v>
      </c>
      <c r="E259" s="3">
        <v>43874</v>
      </c>
      <c r="F259" s="3">
        <v>43875</v>
      </c>
      <c r="G259" s="108">
        <f t="shared" ref="G259:G322" si="47">IF(F259&gt;0,MONTH(F259),"")</f>
        <v>2</v>
      </c>
      <c r="H259" s="108" t="str">
        <f t="shared" ref="H259:H322" si="48">IF(I259=0,"",IF(RIGHT(I259,2)="완료","완료",IF(RIGHT(I259,2)="불가","수리불가",IF(RIGHT(I259,1)="중","수리중","Other"))))</f>
        <v>완료</v>
      </c>
      <c r="I259" s="112" t="s">
        <v>264</v>
      </c>
      <c r="J259" s="4" t="s">
        <v>756</v>
      </c>
      <c r="K259" s="5" t="s">
        <v>756</v>
      </c>
      <c r="L259" s="6" t="str">
        <f t="shared" si="40"/>
        <v>QA</v>
      </c>
      <c r="M259" s="13" t="s">
        <v>207</v>
      </c>
      <c r="N259" s="7" t="s">
        <v>3605</v>
      </c>
      <c r="O259" s="13" t="s">
        <v>207</v>
      </c>
      <c r="P259" s="115" t="s">
        <v>835</v>
      </c>
      <c r="Q259" s="8"/>
      <c r="R259" s="2">
        <v>2</v>
      </c>
      <c r="S259" s="9">
        <v>500</v>
      </c>
      <c r="T259" s="10">
        <f t="shared" si="41"/>
        <v>500</v>
      </c>
      <c r="U259" s="9">
        <v>25</v>
      </c>
      <c r="V259" s="10">
        <f t="shared" si="42"/>
        <v>475</v>
      </c>
      <c r="W259" s="4" t="s">
        <v>868</v>
      </c>
      <c r="X259" s="2"/>
      <c r="Y259" s="11">
        <v>4</v>
      </c>
      <c r="Z259" s="12">
        <f t="shared" si="43"/>
        <v>1</v>
      </c>
      <c r="AA259" s="4" t="s">
        <v>869</v>
      </c>
      <c r="AC259" s="176">
        <f t="shared" si="44"/>
        <v>2.2727272727272728E-2</v>
      </c>
    </row>
    <row r="260" spans="1:29" customFormat="1">
      <c r="A260" s="181"/>
      <c r="B260" s="183">
        <f t="shared" si="45"/>
        <v>7</v>
      </c>
      <c r="C260" s="107" t="str">
        <f t="shared" si="46"/>
        <v>ATK</v>
      </c>
      <c r="D260" s="2" t="s">
        <v>845</v>
      </c>
      <c r="E260" s="3">
        <v>43873</v>
      </c>
      <c r="F260" s="3">
        <v>43874</v>
      </c>
      <c r="G260" s="108">
        <f t="shared" si="47"/>
        <v>2</v>
      </c>
      <c r="H260" s="108" t="str">
        <f t="shared" si="48"/>
        <v>완료</v>
      </c>
      <c r="I260" s="112" t="s">
        <v>218</v>
      </c>
      <c r="J260" s="4" t="s">
        <v>132</v>
      </c>
      <c r="K260" s="5" t="s">
        <v>143</v>
      </c>
      <c r="L260" s="6" t="str">
        <f t="shared" si="40"/>
        <v>3T4</v>
      </c>
      <c r="M260" s="13"/>
      <c r="N260" s="7" t="s">
        <v>3606</v>
      </c>
      <c r="O260" s="13" t="s">
        <v>850</v>
      </c>
      <c r="P260" s="115"/>
      <c r="Q260" s="8"/>
      <c r="R260" s="2">
        <v>1</v>
      </c>
      <c r="S260" s="9">
        <v>3000</v>
      </c>
      <c r="T260" s="10">
        <f t="shared" si="41"/>
        <v>1500</v>
      </c>
      <c r="U260" s="9"/>
      <c r="V260" s="10">
        <f t="shared" si="42"/>
        <v>1500</v>
      </c>
      <c r="W260" s="4" t="s">
        <v>122</v>
      </c>
      <c r="X260" s="2"/>
      <c r="Y260" s="11">
        <v>7</v>
      </c>
      <c r="Z260" s="12">
        <f t="shared" si="43"/>
        <v>1</v>
      </c>
      <c r="AA260" s="4" t="s">
        <v>212</v>
      </c>
      <c r="AC260" s="176">
        <f t="shared" si="44"/>
        <v>0</v>
      </c>
    </row>
    <row r="261" spans="1:29" customFormat="1">
      <c r="A261" s="181"/>
      <c r="B261" s="183">
        <f t="shared" si="45"/>
        <v>8</v>
      </c>
      <c r="C261" s="107" t="str">
        <f t="shared" si="46"/>
        <v>ATK</v>
      </c>
      <c r="D261" s="2" t="s">
        <v>846</v>
      </c>
      <c r="E261" s="3">
        <v>43874</v>
      </c>
      <c r="F261" s="3">
        <v>43879</v>
      </c>
      <c r="G261" s="108">
        <f t="shared" si="47"/>
        <v>2</v>
      </c>
      <c r="H261" s="108" t="str">
        <f t="shared" si="48"/>
        <v>완료</v>
      </c>
      <c r="I261" s="112" t="s">
        <v>218</v>
      </c>
      <c r="J261" s="4" t="s">
        <v>132</v>
      </c>
      <c r="K261" s="5" t="s">
        <v>848</v>
      </c>
      <c r="L261" s="6" t="str">
        <f t="shared" si="40"/>
        <v>3T5</v>
      </c>
      <c r="M261" s="13" t="s">
        <v>1806</v>
      </c>
      <c r="N261" s="7" t="s">
        <v>3607</v>
      </c>
      <c r="O261" s="13" t="s">
        <v>638</v>
      </c>
      <c r="P261" s="115" t="s">
        <v>849</v>
      </c>
      <c r="Q261" s="8"/>
      <c r="R261" s="2">
        <v>1</v>
      </c>
      <c r="S261" s="9">
        <v>5000</v>
      </c>
      <c r="T261" s="10">
        <f t="shared" si="41"/>
        <v>2500</v>
      </c>
      <c r="U261" s="9">
        <v>200</v>
      </c>
      <c r="V261" s="10">
        <f t="shared" si="42"/>
        <v>2300</v>
      </c>
      <c r="W261" s="4" t="s">
        <v>122</v>
      </c>
      <c r="X261" s="2"/>
      <c r="Y261" s="11">
        <v>8</v>
      </c>
      <c r="Z261" s="12">
        <f t="shared" si="43"/>
        <v>5</v>
      </c>
      <c r="AA261" s="4" t="s">
        <v>212</v>
      </c>
      <c r="AC261" s="176">
        <f t="shared" si="44"/>
        <v>0.18181818181818182</v>
      </c>
    </row>
    <row r="262" spans="1:29" customFormat="1">
      <c r="A262" s="181"/>
      <c r="B262" s="183">
        <f t="shared" si="45"/>
        <v>11</v>
      </c>
      <c r="C262" s="107" t="str">
        <f t="shared" si="46"/>
        <v>ATK</v>
      </c>
      <c r="D262" s="2" t="s">
        <v>847</v>
      </c>
      <c r="E262" s="3">
        <v>43874</v>
      </c>
      <c r="F262" s="3">
        <v>43903</v>
      </c>
      <c r="G262" s="108">
        <f t="shared" si="47"/>
        <v>3</v>
      </c>
      <c r="H262" s="108" t="str">
        <f t="shared" si="48"/>
        <v>완료</v>
      </c>
      <c r="I262" s="112" t="s">
        <v>218</v>
      </c>
      <c r="J262" s="4" t="s">
        <v>173</v>
      </c>
      <c r="K262" s="5" t="s">
        <v>851</v>
      </c>
      <c r="L262" s="6" t="str">
        <f t="shared" si="40"/>
        <v>6T1</v>
      </c>
      <c r="M262" s="13"/>
      <c r="N262" s="7" t="s">
        <v>3608</v>
      </c>
      <c r="O262" s="13" t="s">
        <v>707</v>
      </c>
      <c r="P262" s="187" t="s">
        <v>852</v>
      </c>
      <c r="Q262" s="8"/>
      <c r="R262" s="2">
        <v>1</v>
      </c>
      <c r="S262" s="9">
        <v>1000</v>
      </c>
      <c r="T262" s="10">
        <f t="shared" si="41"/>
        <v>500</v>
      </c>
      <c r="U262" s="9"/>
      <c r="V262" s="10">
        <f t="shared" si="42"/>
        <v>500</v>
      </c>
      <c r="W262" s="4" t="s">
        <v>122</v>
      </c>
      <c r="X262" s="2"/>
      <c r="Y262" s="11">
        <v>7</v>
      </c>
      <c r="Z262" s="12">
        <f t="shared" si="43"/>
        <v>29</v>
      </c>
      <c r="AA262" s="4" t="s">
        <v>212</v>
      </c>
      <c r="AC262" s="176">
        <f t="shared" si="44"/>
        <v>0</v>
      </c>
    </row>
    <row r="263" spans="1:29" customFormat="1">
      <c r="A263" s="181"/>
      <c r="B263" s="183">
        <f t="shared" si="45"/>
        <v>7</v>
      </c>
      <c r="C263" s="107" t="str">
        <f t="shared" si="46"/>
        <v>ATK</v>
      </c>
      <c r="D263" s="2" t="s">
        <v>853</v>
      </c>
      <c r="E263" s="3">
        <v>43874</v>
      </c>
      <c r="F263" s="3">
        <v>43874</v>
      </c>
      <c r="G263" s="108">
        <f t="shared" si="47"/>
        <v>2</v>
      </c>
      <c r="H263" s="108" t="str">
        <f t="shared" si="48"/>
        <v>완료</v>
      </c>
      <c r="I263" s="112" t="s">
        <v>218</v>
      </c>
      <c r="J263" s="4" t="s">
        <v>121</v>
      </c>
      <c r="K263" s="5" t="s">
        <v>229</v>
      </c>
      <c r="L263" s="6" t="str">
        <f t="shared" si="40"/>
        <v>5T2</v>
      </c>
      <c r="M263" s="13"/>
      <c r="N263" s="7" t="s">
        <v>3559</v>
      </c>
      <c r="O263" s="13" t="s">
        <v>284</v>
      </c>
      <c r="P263" s="115" t="s">
        <v>854</v>
      </c>
      <c r="Q263" s="8"/>
      <c r="R263" s="2">
        <v>1</v>
      </c>
      <c r="S263" s="9">
        <v>1200</v>
      </c>
      <c r="T263" s="10">
        <f t="shared" si="41"/>
        <v>600</v>
      </c>
      <c r="U263" s="9">
        <v>20</v>
      </c>
      <c r="V263" s="10">
        <f t="shared" si="42"/>
        <v>580</v>
      </c>
      <c r="W263" s="4" t="s">
        <v>122</v>
      </c>
      <c r="X263" s="2"/>
      <c r="Y263" s="11">
        <v>4</v>
      </c>
      <c r="Z263" s="12">
        <f t="shared" si="43"/>
        <v>0</v>
      </c>
      <c r="AA263" s="4" t="s">
        <v>259</v>
      </c>
      <c r="AC263" s="176">
        <f t="shared" si="44"/>
        <v>1.8181818181818181E-2</v>
      </c>
    </row>
    <row r="264" spans="1:29" customFormat="1">
      <c r="A264" s="181"/>
      <c r="B264" s="183">
        <f t="shared" si="45"/>
        <v>7</v>
      </c>
      <c r="C264" s="107" t="str">
        <f t="shared" si="46"/>
        <v>ATK</v>
      </c>
      <c r="D264" s="2" t="s">
        <v>856</v>
      </c>
      <c r="E264" s="3">
        <v>43874</v>
      </c>
      <c r="F264" s="3">
        <v>43874</v>
      </c>
      <c r="G264" s="108">
        <f t="shared" si="47"/>
        <v>2</v>
      </c>
      <c r="H264" s="108" t="str">
        <f t="shared" si="48"/>
        <v>완료</v>
      </c>
      <c r="I264" s="112" t="s">
        <v>218</v>
      </c>
      <c r="J264" s="4" t="s">
        <v>118</v>
      </c>
      <c r="K264" s="5" t="s">
        <v>119</v>
      </c>
      <c r="L264" s="6" t="str">
        <f t="shared" si="40"/>
        <v>2T3</v>
      </c>
      <c r="M264" s="13"/>
      <c r="N264" s="7" t="s">
        <v>3609</v>
      </c>
      <c r="O264" s="13" t="s">
        <v>855</v>
      </c>
      <c r="P264" s="115" t="s">
        <v>300</v>
      </c>
      <c r="Q264" s="8"/>
      <c r="R264" s="2">
        <v>1</v>
      </c>
      <c r="S264" s="9">
        <v>1000</v>
      </c>
      <c r="T264" s="10">
        <f t="shared" si="41"/>
        <v>500</v>
      </c>
      <c r="U264" s="9">
        <v>20</v>
      </c>
      <c r="V264" s="10">
        <f t="shared" si="42"/>
        <v>480</v>
      </c>
      <c r="W264" s="4" t="s">
        <v>122</v>
      </c>
      <c r="X264" s="2"/>
      <c r="Y264" s="11">
        <v>4</v>
      </c>
      <c r="Z264" s="12">
        <f t="shared" si="43"/>
        <v>0</v>
      </c>
      <c r="AA264" s="4" t="s">
        <v>259</v>
      </c>
      <c r="AC264" s="176">
        <f t="shared" si="44"/>
        <v>1.8181818181818181E-2</v>
      </c>
    </row>
    <row r="265" spans="1:29" customFormat="1">
      <c r="A265" s="181"/>
      <c r="B265" s="183">
        <f t="shared" si="45"/>
        <v>7</v>
      </c>
      <c r="C265" s="107" t="str">
        <f t="shared" si="46"/>
        <v>ATK</v>
      </c>
      <c r="D265" s="2" t="s">
        <v>858</v>
      </c>
      <c r="E265" s="3">
        <v>43874</v>
      </c>
      <c r="F265" s="3">
        <v>43875</v>
      </c>
      <c r="G265" s="108">
        <f t="shared" si="47"/>
        <v>2</v>
      </c>
      <c r="H265" s="108" t="str">
        <f t="shared" si="48"/>
        <v>완료</v>
      </c>
      <c r="I265" s="112" t="s">
        <v>218</v>
      </c>
      <c r="J265" s="4" t="s">
        <v>859</v>
      </c>
      <c r="K265" s="5" t="s">
        <v>695</v>
      </c>
      <c r="L265" s="6" t="str">
        <f t="shared" si="40"/>
        <v>2T2</v>
      </c>
      <c r="M265" s="13" t="s">
        <v>256</v>
      </c>
      <c r="N265" s="7" t="s">
        <v>3610</v>
      </c>
      <c r="O265" s="13" t="s">
        <v>482</v>
      </c>
      <c r="P265" s="115" t="s">
        <v>860</v>
      </c>
      <c r="Q265" s="8"/>
      <c r="R265" s="2">
        <v>1</v>
      </c>
      <c r="S265" s="9">
        <v>1500</v>
      </c>
      <c r="T265" s="10">
        <f t="shared" si="41"/>
        <v>750</v>
      </c>
      <c r="U265" s="9">
        <v>25</v>
      </c>
      <c r="V265" s="10">
        <f t="shared" si="42"/>
        <v>725</v>
      </c>
      <c r="W265" s="4" t="s">
        <v>861</v>
      </c>
      <c r="X265" s="2"/>
      <c r="Y265" s="11">
        <v>2</v>
      </c>
      <c r="Z265" s="12">
        <f t="shared" si="43"/>
        <v>1</v>
      </c>
      <c r="AA265" s="4" t="s">
        <v>862</v>
      </c>
      <c r="AC265" s="176">
        <f t="shared" si="44"/>
        <v>2.2727272727272728E-2</v>
      </c>
    </row>
    <row r="266" spans="1:29" customFormat="1">
      <c r="A266" s="181"/>
      <c r="B266" s="183">
        <f t="shared" si="45"/>
        <v>7</v>
      </c>
      <c r="C266" s="107" t="str">
        <f t="shared" si="46"/>
        <v>ATK</v>
      </c>
      <c r="D266" s="2" t="s">
        <v>863</v>
      </c>
      <c r="E266" s="3">
        <v>43875</v>
      </c>
      <c r="F266" s="3">
        <v>43875</v>
      </c>
      <c r="G266" s="108">
        <f t="shared" si="47"/>
        <v>2</v>
      </c>
      <c r="H266" s="108" t="str">
        <f t="shared" si="48"/>
        <v>완료</v>
      </c>
      <c r="I266" s="112" t="s">
        <v>218</v>
      </c>
      <c r="J266" s="4" t="s">
        <v>121</v>
      </c>
      <c r="K266" s="5" t="s">
        <v>136</v>
      </c>
      <c r="L266" s="6" t="str">
        <f t="shared" si="40"/>
        <v>5T1</v>
      </c>
      <c r="M266" s="13"/>
      <c r="N266" s="7" t="s">
        <v>3559</v>
      </c>
      <c r="O266" s="13" t="s">
        <v>864</v>
      </c>
      <c r="P266" s="115" t="s">
        <v>300</v>
      </c>
      <c r="Q266" s="8"/>
      <c r="R266" s="2">
        <v>1</v>
      </c>
      <c r="S266" s="9">
        <v>1200</v>
      </c>
      <c r="T266" s="10">
        <f t="shared" si="41"/>
        <v>600</v>
      </c>
      <c r="U266" s="9">
        <v>20</v>
      </c>
      <c r="V266" s="10">
        <f t="shared" si="42"/>
        <v>580</v>
      </c>
      <c r="W266" s="4" t="s">
        <v>122</v>
      </c>
      <c r="X266" s="2"/>
      <c r="Y266" s="11">
        <v>4</v>
      </c>
      <c r="Z266" s="12">
        <f t="shared" si="43"/>
        <v>0</v>
      </c>
      <c r="AA266" s="4" t="s">
        <v>259</v>
      </c>
      <c r="AC266" s="176">
        <f t="shared" si="44"/>
        <v>1.8181818181818181E-2</v>
      </c>
    </row>
    <row r="267" spans="1:29" customFormat="1">
      <c r="A267" s="181"/>
      <c r="B267" s="183">
        <f t="shared" si="45"/>
        <v>7</v>
      </c>
      <c r="C267" s="107" t="str">
        <f t="shared" si="46"/>
        <v>ATK</v>
      </c>
      <c r="D267" s="2" t="s">
        <v>865</v>
      </c>
      <c r="E267" s="3">
        <v>43875</v>
      </c>
      <c r="F267" s="3">
        <v>43875</v>
      </c>
      <c r="G267" s="108">
        <f t="shared" si="47"/>
        <v>2</v>
      </c>
      <c r="H267" s="108" t="str">
        <f t="shared" si="48"/>
        <v>완료</v>
      </c>
      <c r="I267" s="112" t="s">
        <v>218</v>
      </c>
      <c r="J267" s="4" t="s">
        <v>115</v>
      </c>
      <c r="K267" s="5" t="s">
        <v>138</v>
      </c>
      <c r="L267" s="6" t="str">
        <f t="shared" si="40"/>
        <v>EE1</v>
      </c>
      <c r="M267" s="13" t="s">
        <v>305</v>
      </c>
      <c r="N267" s="7"/>
      <c r="O267" s="13" t="s">
        <v>306</v>
      </c>
      <c r="P267" s="115" t="s">
        <v>300</v>
      </c>
      <c r="Q267" s="8"/>
      <c r="R267" s="2">
        <v>1</v>
      </c>
      <c r="S267" s="9">
        <v>2500</v>
      </c>
      <c r="T267" s="10">
        <f t="shared" si="41"/>
        <v>1250</v>
      </c>
      <c r="U267" s="9">
        <v>30</v>
      </c>
      <c r="V267" s="10">
        <f t="shared" si="42"/>
        <v>1220</v>
      </c>
      <c r="W267" s="4" t="s">
        <v>122</v>
      </c>
      <c r="X267" s="2"/>
      <c r="Y267" s="11">
        <v>4</v>
      </c>
      <c r="Z267" s="12">
        <f t="shared" si="43"/>
        <v>0</v>
      </c>
      <c r="AA267" s="4" t="s">
        <v>259</v>
      </c>
      <c r="AC267" s="176">
        <f t="shared" si="44"/>
        <v>2.7272727272727271E-2</v>
      </c>
    </row>
    <row r="268" spans="1:29" customFormat="1">
      <c r="A268" s="181"/>
      <c r="B268" s="183">
        <f t="shared" si="45"/>
        <v>14</v>
      </c>
      <c r="C268" s="107" t="str">
        <f t="shared" si="46"/>
        <v>ATK</v>
      </c>
      <c r="D268" s="2" t="s">
        <v>866</v>
      </c>
      <c r="E268" s="3">
        <v>43873</v>
      </c>
      <c r="F268" s="3">
        <v>43920</v>
      </c>
      <c r="G268" s="108">
        <f t="shared" si="47"/>
        <v>3</v>
      </c>
      <c r="H268" s="108" t="str">
        <f t="shared" si="48"/>
        <v>완료</v>
      </c>
      <c r="I268" s="112" t="s">
        <v>218</v>
      </c>
      <c r="J268" s="4" t="s">
        <v>281</v>
      </c>
      <c r="K268" s="5" t="s">
        <v>332</v>
      </c>
      <c r="L268" s="6" t="str">
        <f t="shared" si="40"/>
        <v>EE2</v>
      </c>
      <c r="M268" s="13" t="s">
        <v>226</v>
      </c>
      <c r="N268" s="7" t="s">
        <v>3611</v>
      </c>
      <c r="O268" s="13" t="s">
        <v>867</v>
      </c>
      <c r="P268" s="115" t="s">
        <v>208</v>
      </c>
      <c r="Q268" s="8"/>
      <c r="R268" s="2">
        <v>1</v>
      </c>
      <c r="S268" s="9">
        <v>3500</v>
      </c>
      <c r="T268" s="10">
        <f t="shared" si="41"/>
        <v>1750</v>
      </c>
      <c r="U268" s="9">
        <v>50</v>
      </c>
      <c r="V268" s="10">
        <f t="shared" si="42"/>
        <v>1700</v>
      </c>
      <c r="W268" s="4" t="s">
        <v>122</v>
      </c>
      <c r="X268" s="2"/>
      <c r="Y268" s="11">
        <v>4</v>
      </c>
      <c r="Z268" s="12">
        <f t="shared" si="43"/>
        <v>47</v>
      </c>
      <c r="AA268" s="4" t="s">
        <v>27</v>
      </c>
      <c r="AC268" s="176">
        <f t="shared" si="44"/>
        <v>4.5454545454545456E-2</v>
      </c>
    </row>
    <row r="269" spans="1:29" customFormat="1">
      <c r="A269" s="181"/>
      <c r="B269" s="183">
        <f t="shared" si="45"/>
        <v>7</v>
      </c>
      <c r="C269" s="107" t="str">
        <f t="shared" si="46"/>
        <v>ATK</v>
      </c>
      <c r="D269" s="2" t="s">
        <v>620</v>
      </c>
      <c r="E269" s="3">
        <v>43875</v>
      </c>
      <c r="F269" s="3">
        <v>43875</v>
      </c>
      <c r="G269" s="108">
        <f t="shared" si="47"/>
        <v>2</v>
      </c>
      <c r="H269" s="108" t="str">
        <f t="shared" si="48"/>
        <v>완료</v>
      </c>
      <c r="I269" s="112" t="s">
        <v>218</v>
      </c>
      <c r="J269" s="4" t="s">
        <v>481</v>
      </c>
      <c r="K269" s="5" t="s">
        <v>621</v>
      </c>
      <c r="L269" s="6" t="str">
        <f t="shared" si="40"/>
        <v>2T3</v>
      </c>
      <c r="M269" s="13" t="s">
        <v>813</v>
      </c>
      <c r="N269" s="7" t="s">
        <v>140</v>
      </c>
      <c r="O269" s="13" t="s">
        <v>225</v>
      </c>
      <c r="P269" s="115"/>
      <c r="Q269" s="8"/>
      <c r="R269" s="2">
        <v>1</v>
      </c>
      <c r="S269" s="9">
        <v>3500</v>
      </c>
      <c r="T269" s="10">
        <f t="shared" si="41"/>
        <v>1750</v>
      </c>
      <c r="U269" s="9">
        <v>0</v>
      </c>
      <c r="V269" s="10">
        <f t="shared" si="42"/>
        <v>1750</v>
      </c>
      <c r="W269" s="4" t="s">
        <v>122</v>
      </c>
      <c r="X269" s="2"/>
      <c r="Y269" s="11">
        <v>3</v>
      </c>
      <c r="Z269" s="12">
        <f t="shared" si="43"/>
        <v>0</v>
      </c>
      <c r="AA269" s="4" t="s">
        <v>27</v>
      </c>
      <c r="AC269" s="176">
        <f t="shared" si="44"/>
        <v>0</v>
      </c>
    </row>
    <row r="270" spans="1:29" customFormat="1">
      <c r="A270" s="181"/>
      <c r="B270" s="183">
        <f t="shared" si="45"/>
        <v>8</v>
      </c>
      <c r="C270" s="107" t="str">
        <f t="shared" si="46"/>
        <v>ATK</v>
      </c>
      <c r="D270" s="2" t="s">
        <v>504</v>
      </c>
      <c r="E270" s="3">
        <v>43864</v>
      </c>
      <c r="F270" s="3">
        <v>43879</v>
      </c>
      <c r="G270" s="108">
        <f t="shared" si="47"/>
        <v>2</v>
      </c>
      <c r="H270" s="108" t="str">
        <f t="shared" si="48"/>
        <v>완료</v>
      </c>
      <c r="I270" s="112" t="s">
        <v>218</v>
      </c>
      <c r="J270" s="4" t="s">
        <v>281</v>
      </c>
      <c r="K270" s="5" t="s">
        <v>332</v>
      </c>
      <c r="L270" s="6" t="str">
        <f t="shared" si="40"/>
        <v>EE2</v>
      </c>
      <c r="M270" s="13" t="s">
        <v>256</v>
      </c>
      <c r="N270" s="7" t="s">
        <v>3594</v>
      </c>
      <c r="O270" s="13" t="s">
        <v>482</v>
      </c>
      <c r="P270" s="115" t="s">
        <v>506</v>
      </c>
      <c r="Q270" s="8"/>
      <c r="R270" s="2">
        <v>1</v>
      </c>
      <c r="S270" s="9">
        <v>1600</v>
      </c>
      <c r="T270" s="10">
        <f t="shared" si="41"/>
        <v>800</v>
      </c>
      <c r="U270" s="9">
        <v>5</v>
      </c>
      <c r="V270" s="10">
        <f t="shared" si="42"/>
        <v>795</v>
      </c>
      <c r="W270" s="4" t="s">
        <v>122</v>
      </c>
      <c r="X270" s="2"/>
      <c r="Y270" s="11">
        <v>4</v>
      </c>
      <c r="Z270" s="12">
        <f t="shared" si="43"/>
        <v>15</v>
      </c>
      <c r="AA270" s="4" t="s">
        <v>27</v>
      </c>
      <c r="AC270" s="176">
        <f t="shared" si="44"/>
        <v>4.5454545454545452E-3</v>
      </c>
    </row>
    <row r="271" spans="1:29" customFormat="1">
      <c r="A271" s="181"/>
      <c r="B271" s="183">
        <f t="shared" si="45"/>
        <v>8</v>
      </c>
      <c r="C271" s="107" t="str">
        <f t="shared" si="46"/>
        <v>ATK</v>
      </c>
      <c r="D271" s="2" t="s">
        <v>512</v>
      </c>
      <c r="E271" s="3">
        <v>43864</v>
      </c>
      <c r="F271" s="3">
        <v>43880</v>
      </c>
      <c r="G271" s="108">
        <f t="shared" si="47"/>
        <v>2</v>
      </c>
      <c r="H271" s="108" t="str">
        <f t="shared" si="48"/>
        <v>완료</v>
      </c>
      <c r="I271" s="112" t="s">
        <v>218</v>
      </c>
      <c r="J271" s="4" t="s">
        <v>481</v>
      </c>
      <c r="K271" s="5" t="s">
        <v>695</v>
      </c>
      <c r="L271" s="6" t="str">
        <f t="shared" si="40"/>
        <v>2T2</v>
      </c>
      <c r="M271" s="13" t="s">
        <v>256</v>
      </c>
      <c r="N271" s="7" t="s">
        <v>3529</v>
      </c>
      <c r="O271" s="13" t="s">
        <v>482</v>
      </c>
      <c r="P271" s="115" t="s">
        <v>696</v>
      </c>
      <c r="Q271" s="8"/>
      <c r="R271" s="2">
        <v>2</v>
      </c>
      <c r="S271" s="9">
        <v>1600</v>
      </c>
      <c r="T271" s="10">
        <f t="shared" si="41"/>
        <v>1600</v>
      </c>
      <c r="U271" s="9">
        <v>80</v>
      </c>
      <c r="V271" s="10">
        <f t="shared" si="42"/>
        <v>1520</v>
      </c>
      <c r="W271" s="4" t="s">
        <v>122</v>
      </c>
      <c r="X271" s="2"/>
      <c r="Y271" s="11">
        <v>4</v>
      </c>
      <c r="Z271" s="12">
        <f t="shared" si="43"/>
        <v>16</v>
      </c>
      <c r="AA271" s="4" t="s">
        <v>27</v>
      </c>
      <c r="AC271" s="176">
        <f t="shared" si="44"/>
        <v>7.2727272727272724E-2</v>
      </c>
    </row>
    <row r="272" spans="1:29" customFormat="1">
      <c r="A272" s="181"/>
      <c r="B272" s="183">
        <f t="shared" si="45"/>
        <v>8</v>
      </c>
      <c r="C272" s="107" t="str">
        <f t="shared" si="46"/>
        <v>ATK</v>
      </c>
      <c r="D272" s="2" t="s">
        <v>512</v>
      </c>
      <c r="E272" s="3">
        <v>43878</v>
      </c>
      <c r="F272" s="3">
        <v>43878</v>
      </c>
      <c r="G272" s="108">
        <f t="shared" si="47"/>
        <v>2</v>
      </c>
      <c r="H272" s="108" t="str">
        <f t="shared" si="48"/>
        <v>완료</v>
      </c>
      <c r="I272" s="112" t="s">
        <v>218</v>
      </c>
      <c r="J272" s="4" t="s">
        <v>118</v>
      </c>
      <c r="K272" s="5" t="s">
        <v>137</v>
      </c>
      <c r="L272" s="6" t="str">
        <f t="shared" si="40"/>
        <v>2T2</v>
      </c>
      <c r="M272" s="13" t="s">
        <v>256</v>
      </c>
      <c r="N272" s="7" t="s">
        <v>3612</v>
      </c>
      <c r="O272" s="13" t="s">
        <v>478</v>
      </c>
      <c r="P272" s="115" t="s">
        <v>479</v>
      </c>
      <c r="Q272" s="8"/>
      <c r="R272" s="2">
        <v>1</v>
      </c>
      <c r="S272" s="9">
        <v>1600</v>
      </c>
      <c r="T272" s="10">
        <f t="shared" si="41"/>
        <v>800</v>
      </c>
      <c r="U272" s="9">
        <v>20</v>
      </c>
      <c r="V272" s="10">
        <f t="shared" si="42"/>
        <v>780</v>
      </c>
      <c r="W272" s="4" t="s">
        <v>122</v>
      </c>
      <c r="X272" s="2"/>
      <c r="Y272" s="11">
        <v>2</v>
      </c>
      <c r="Z272" s="12">
        <f t="shared" si="43"/>
        <v>0</v>
      </c>
      <c r="AA272" s="4" t="s">
        <v>117</v>
      </c>
      <c r="AC272" s="176">
        <f t="shared" si="44"/>
        <v>1.8181818181818181E-2</v>
      </c>
    </row>
    <row r="273" spans="1:29" customFormat="1">
      <c r="A273" s="181"/>
      <c r="B273" s="183">
        <f t="shared" si="45"/>
        <v>8</v>
      </c>
      <c r="C273" s="107" t="str">
        <f t="shared" si="46"/>
        <v>ATK</v>
      </c>
      <c r="D273" s="2" t="s">
        <v>295</v>
      </c>
      <c r="E273" s="3">
        <v>43878</v>
      </c>
      <c r="F273" s="3">
        <v>43878</v>
      </c>
      <c r="G273" s="108">
        <f t="shared" si="47"/>
        <v>2</v>
      </c>
      <c r="H273" s="108" t="str">
        <f t="shared" si="48"/>
        <v>완료</v>
      </c>
      <c r="I273" s="112" t="s">
        <v>218</v>
      </c>
      <c r="J273" s="4" t="s">
        <v>132</v>
      </c>
      <c r="K273" s="5" t="s">
        <v>133</v>
      </c>
      <c r="L273" s="6" t="str">
        <f t="shared" si="40"/>
        <v>3T3</v>
      </c>
      <c r="M273" s="13" t="s">
        <v>870</v>
      </c>
      <c r="N273" s="7" t="s">
        <v>3613</v>
      </c>
      <c r="O273" s="13" t="s">
        <v>871</v>
      </c>
      <c r="P273" s="115" t="s">
        <v>330</v>
      </c>
      <c r="Q273" s="8"/>
      <c r="R273" s="2">
        <v>1</v>
      </c>
      <c r="S273" s="9">
        <v>2500</v>
      </c>
      <c r="T273" s="10">
        <f t="shared" si="41"/>
        <v>1250</v>
      </c>
      <c r="U273" s="9">
        <v>200</v>
      </c>
      <c r="V273" s="10">
        <f t="shared" si="42"/>
        <v>1050</v>
      </c>
      <c r="W273" s="4" t="s">
        <v>122</v>
      </c>
      <c r="X273" s="2"/>
      <c r="Y273" s="11">
        <v>8</v>
      </c>
      <c r="Z273" s="12">
        <f t="shared" si="43"/>
        <v>0</v>
      </c>
      <c r="AA273" s="4" t="s">
        <v>212</v>
      </c>
      <c r="AC273" s="176">
        <f t="shared" si="44"/>
        <v>0.18181818181818182</v>
      </c>
    </row>
    <row r="274" spans="1:29" customFormat="1">
      <c r="A274" s="181"/>
      <c r="B274" s="183">
        <f t="shared" si="45"/>
        <v>8</v>
      </c>
      <c r="C274" s="107" t="str">
        <f t="shared" si="46"/>
        <v>ATK</v>
      </c>
      <c r="D274" s="2" t="s">
        <v>221</v>
      </c>
      <c r="E274" s="3">
        <v>43879</v>
      </c>
      <c r="F274" s="3">
        <v>43879</v>
      </c>
      <c r="G274" s="108">
        <f t="shared" si="47"/>
        <v>2</v>
      </c>
      <c r="H274" s="108" t="str">
        <f t="shared" si="48"/>
        <v>완료</v>
      </c>
      <c r="I274" s="112" t="s">
        <v>218</v>
      </c>
      <c r="J274" s="4" t="s">
        <v>748</v>
      </c>
      <c r="K274" s="5" t="s">
        <v>177</v>
      </c>
      <c r="L274" s="6" t="str">
        <f t="shared" si="40"/>
        <v>Bum</v>
      </c>
      <c r="M274" s="13" t="s">
        <v>872</v>
      </c>
      <c r="N274" s="7" t="s">
        <v>3614</v>
      </c>
      <c r="O274" s="13" t="s">
        <v>207</v>
      </c>
      <c r="P274" s="115"/>
      <c r="Q274" s="8"/>
      <c r="R274" s="2">
        <v>1</v>
      </c>
      <c r="S274" s="9">
        <v>4000</v>
      </c>
      <c r="T274" s="10">
        <f t="shared" si="41"/>
        <v>2000</v>
      </c>
      <c r="U274" s="9">
        <v>55</v>
      </c>
      <c r="V274" s="10">
        <f t="shared" si="42"/>
        <v>1945</v>
      </c>
      <c r="W274" s="4" t="s">
        <v>122</v>
      </c>
      <c r="X274" s="2"/>
      <c r="Y274" s="11">
        <v>2</v>
      </c>
      <c r="Z274" s="12">
        <f t="shared" si="43"/>
        <v>0</v>
      </c>
      <c r="AA274" s="4" t="s">
        <v>117</v>
      </c>
      <c r="AC274" s="176">
        <f t="shared" si="44"/>
        <v>0.05</v>
      </c>
    </row>
    <row r="275" spans="1:29" customFormat="1">
      <c r="A275" s="181"/>
      <c r="B275" s="183">
        <f t="shared" si="45"/>
        <v>8</v>
      </c>
      <c r="C275" s="107" t="str">
        <f t="shared" si="46"/>
        <v>ATK</v>
      </c>
      <c r="D275" s="2" t="s">
        <v>873</v>
      </c>
      <c r="E275" s="3">
        <v>43879</v>
      </c>
      <c r="F275" s="3">
        <v>43879</v>
      </c>
      <c r="G275" s="108">
        <f t="shared" si="47"/>
        <v>2</v>
      </c>
      <c r="H275" s="108" t="str">
        <f t="shared" si="48"/>
        <v>완료</v>
      </c>
      <c r="I275" s="112" t="s">
        <v>218</v>
      </c>
      <c r="J275" s="4" t="s">
        <v>121</v>
      </c>
      <c r="K275" s="5" t="s">
        <v>229</v>
      </c>
      <c r="L275" s="6" t="str">
        <f t="shared" si="40"/>
        <v>5T2</v>
      </c>
      <c r="M275" s="13"/>
      <c r="N275" s="7" t="s">
        <v>3615</v>
      </c>
      <c r="O275" s="13" t="s">
        <v>268</v>
      </c>
      <c r="P275" s="115" t="s">
        <v>874</v>
      </c>
      <c r="Q275" s="8"/>
      <c r="R275" s="2">
        <v>4</v>
      </c>
      <c r="S275" s="9">
        <v>500</v>
      </c>
      <c r="T275" s="10">
        <f t="shared" si="41"/>
        <v>1000</v>
      </c>
      <c r="U275" s="9">
        <v>20</v>
      </c>
      <c r="V275" s="10">
        <f t="shared" si="42"/>
        <v>980</v>
      </c>
      <c r="W275" s="4" t="s">
        <v>122</v>
      </c>
      <c r="X275" s="2"/>
      <c r="Y275" s="11">
        <v>8</v>
      </c>
      <c r="Z275" s="12">
        <f t="shared" si="43"/>
        <v>0</v>
      </c>
      <c r="AA275" s="4" t="s">
        <v>259</v>
      </c>
      <c r="AC275" s="176">
        <f t="shared" si="44"/>
        <v>1.8181818181818181E-2</v>
      </c>
    </row>
    <row r="276" spans="1:29" customFormat="1" ht="24">
      <c r="A276" s="181"/>
      <c r="B276" s="183">
        <f t="shared" si="45"/>
        <v>8</v>
      </c>
      <c r="C276" s="107" t="str">
        <f t="shared" si="46"/>
        <v>ATK</v>
      </c>
      <c r="D276" s="2" t="s">
        <v>217</v>
      </c>
      <c r="E276" s="3">
        <v>43874</v>
      </c>
      <c r="F276" s="3">
        <v>43879</v>
      </c>
      <c r="G276" s="108">
        <f t="shared" si="47"/>
        <v>2</v>
      </c>
      <c r="H276" s="108" t="str">
        <f t="shared" si="48"/>
        <v>완료</v>
      </c>
      <c r="I276" s="112" t="s">
        <v>218</v>
      </c>
      <c r="J276" s="4" t="s">
        <v>127</v>
      </c>
      <c r="K276" s="5" t="s">
        <v>131</v>
      </c>
      <c r="L276" s="6" t="str">
        <f t="shared" si="40"/>
        <v>1T4</v>
      </c>
      <c r="M276" s="13" t="s">
        <v>875</v>
      </c>
      <c r="N276" s="7" t="s">
        <v>3616</v>
      </c>
      <c r="O276" s="13" t="s">
        <v>877</v>
      </c>
      <c r="P276" s="115" t="s">
        <v>876</v>
      </c>
      <c r="Q276" s="8" t="s">
        <v>878</v>
      </c>
      <c r="R276" s="2">
        <v>1</v>
      </c>
      <c r="S276" s="9">
        <v>400</v>
      </c>
      <c r="T276" s="10">
        <f t="shared" si="41"/>
        <v>200</v>
      </c>
      <c r="U276" s="9">
        <v>3</v>
      </c>
      <c r="V276" s="10">
        <f t="shared" si="42"/>
        <v>197</v>
      </c>
      <c r="W276" s="4" t="s">
        <v>122</v>
      </c>
      <c r="X276" s="2"/>
      <c r="Y276" s="11">
        <v>5</v>
      </c>
      <c r="Z276" s="12">
        <f t="shared" si="43"/>
        <v>5</v>
      </c>
      <c r="AA276" s="4" t="s">
        <v>120</v>
      </c>
      <c r="AC276" s="176">
        <f t="shared" si="44"/>
        <v>2.7272727272727275E-3</v>
      </c>
    </row>
    <row r="277" spans="1:29" customFormat="1" ht="24">
      <c r="A277" s="181"/>
      <c r="B277" s="183">
        <f t="shared" si="45"/>
        <v>8</v>
      </c>
      <c r="C277" s="107" t="str">
        <f t="shared" si="46"/>
        <v>ATK</v>
      </c>
      <c r="D277" s="2" t="s">
        <v>272</v>
      </c>
      <c r="E277" s="3">
        <v>43874</v>
      </c>
      <c r="F277" s="3">
        <v>43879</v>
      </c>
      <c r="G277" s="108">
        <f t="shared" si="47"/>
        <v>2</v>
      </c>
      <c r="H277" s="108" t="str">
        <f t="shared" si="48"/>
        <v>완료</v>
      </c>
      <c r="I277" s="112" t="s">
        <v>218</v>
      </c>
      <c r="J277" s="4" t="s">
        <v>132</v>
      </c>
      <c r="K277" s="5" t="s">
        <v>143</v>
      </c>
      <c r="L277" s="6" t="str">
        <f t="shared" si="40"/>
        <v>3T4</v>
      </c>
      <c r="M277" s="13" t="s">
        <v>879</v>
      </c>
      <c r="N277" s="7" t="s">
        <v>3616</v>
      </c>
      <c r="O277" s="13" t="s">
        <v>897</v>
      </c>
      <c r="P277" s="115" t="s">
        <v>880</v>
      </c>
      <c r="Q277" s="8" t="s">
        <v>881</v>
      </c>
      <c r="R277" s="2">
        <v>1</v>
      </c>
      <c r="S277" s="9">
        <v>400</v>
      </c>
      <c r="T277" s="10">
        <f t="shared" si="41"/>
        <v>200</v>
      </c>
      <c r="U277" s="9">
        <v>4</v>
      </c>
      <c r="V277" s="10">
        <f t="shared" si="42"/>
        <v>196</v>
      </c>
      <c r="W277" s="4" t="s">
        <v>122</v>
      </c>
      <c r="X277" s="2"/>
      <c r="Y277" s="11">
        <v>3</v>
      </c>
      <c r="Z277" s="12">
        <f t="shared" si="43"/>
        <v>5</v>
      </c>
      <c r="AA277" s="4" t="s">
        <v>120</v>
      </c>
      <c r="AC277" s="176">
        <f t="shared" si="44"/>
        <v>3.6363636363636364E-3</v>
      </c>
    </row>
    <row r="278" spans="1:29" customFormat="1">
      <c r="A278" s="181"/>
      <c r="B278" s="183">
        <f t="shared" si="45"/>
        <v>8</v>
      </c>
      <c r="C278" s="107" t="str">
        <f t="shared" si="46"/>
        <v>ATK</v>
      </c>
      <c r="D278" s="2" t="s">
        <v>379</v>
      </c>
      <c r="E278" s="3">
        <v>43880</v>
      </c>
      <c r="F278" s="3">
        <v>43880</v>
      </c>
      <c r="G278" s="108">
        <f t="shared" si="47"/>
        <v>2</v>
      </c>
      <c r="H278" s="108" t="str">
        <f t="shared" si="48"/>
        <v>완료</v>
      </c>
      <c r="I278" s="112" t="s">
        <v>218</v>
      </c>
      <c r="J278" s="4" t="s">
        <v>132</v>
      </c>
      <c r="K278" s="5" t="s">
        <v>322</v>
      </c>
      <c r="L278" s="6" t="str">
        <f t="shared" si="40"/>
        <v>3T1</v>
      </c>
      <c r="M278" s="13" t="s">
        <v>242</v>
      </c>
      <c r="N278" s="7" t="s">
        <v>3617</v>
      </c>
      <c r="O278" s="13" t="s">
        <v>882</v>
      </c>
      <c r="P278" s="13" t="s">
        <v>882</v>
      </c>
      <c r="Q278" s="8"/>
      <c r="R278" s="2">
        <v>2</v>
      </c>
      <c r="S278" s="9">
        <v>500</v>
      </c>
      <c r="T278" s="10">
        <f t="shared" si="41"/>
        <v>500</v>
      </c>
      <c r="U278" s="9"/>
      <c r="V278" s="10">
        <f t="shared" si="42"/>
        <v>500</v>
      </c>
      <c r="W278" s="4" t="s">
        <v>122</v>
      </c>
      <c r="X278" s="2"/>
      <c r="Y278" s="11">
        <v>2</v>
      </c>
      <c r="Z278" s="12">
        <f t="shared" si="43"/>
        <v>0</v>
      </c>
      <c r="AA278" s="4" t="s">
        <v>212</v>
      </c>
      <c r="AC278" s="176">
        <f t="shared" si="44"/>
        <v>0</v>
      </c>
    </row>
    <row r="279" spans="1:29" customFormat="1">
      <c r="A279" s="181"/>
      <c r="B279" s="183">
        <f t="shared" si="45"/>
        <v>8</v>
      </c>
      <c r="C279" s="107" t="str">
        <f t="shared" si="46"/>
        <v>ATK</v>
      </c>
      <c r="D279" s="2" t="s">
        <v>379</v>
      </c>
      <c r="E279" s="3">
        <v>43880</v>
      </c>
      <c r="F279" s="3">
        <v>43880</v>
      </c>
      <c r="G279" s="108">
        <f t="shared" si="47"/>
        <v>2</v>
      </c>
      <c r="H279" s="108" t="str">
        <f t="shared" si="48"/>
        <v>완료</v>
      </c>
      <c r="I279" s="112" t="s">
        <v>218</v>
      </c>
      <c r="J279" s="4" t="s">
        <v>132</v>
      </c>
      <c r="K279" s="5" t="s">
        <v>322</v>
      </c>
      <c r="L279" s="6" t="str">
        <f t="shared" si="40"/>
        <v>3T1</v>
      </c>
      <c r="M279" s="13" t="s">
        <v>242</v>
      </c>
      <c r="N279" s="7" t="s">
        <v>3595</v>
      </c>
      <c r="O279" s="13" t="s">
        <v>883</v>
      </c>
      <c r="P279" s="115" t="s">
        <v>918</v>
      </c>
      <c r="Q279" s="8"/>
      <c r="R279" s="2">
        <v>1</v>
      </c>
      <c r="S279" s="9">
        <v>500</v>
      </c>
      <c r="T279" s="10">
        <f t="shared" si="41"/>
        <v>250</v>
      </c>
      <c r="U279" s="9"/>
      <c r="V279" s="10">
        <f t="shared" si="42"/>
        <v>250</v>
      </c>
      <c r="W279" s="4" t="s">
        <v>122</v>
      </c>
      <c r="X279" s="2"/>
      <c r="Y279" s="11">
        <v>2</v>
      </c>
      <c r="Z279" s="12">
        <f t="shared" si="43"/>
        <v>0</v>
      </c>
      <c r="AA279" s="4" t="s">
        <v>212</v>
      </c>
      <c r="AC279" s="176">
        <f t="shared" si="44"/>
        <v>0</v>
      </c>
    </row>
    <row r="280" spans="1:29" customFormat="1">
      <c r="A280" s="181"/>
      <c r="B280" s="183">
        <f t="shared" si="45"/>
        <v>8</v>
      </c>
      <c r="C280" s="107" t="str">
        <f t="shared" si="46"/>
        <v>ATK</v>
      </c>
      <c r="D280" s="2" t="s">
        <v>706</v>
      </c>
      <c r="E280" s="3">
        <v>43879</v>
      </c>
      <c r="F280" s="3">
        <v>43880</v>
      </c>
      <c r="G280" s="108">
        <f t="shared" si="47"/>
        <v>2</v>
      </c>
      <c r="H280" s="108" t="str">
        <f t="shared" si="48"/>
        <v>완료</v>
      </c>
      <c r="I280" s="112" t="s">
        <v>218</v>
      </c>
      <c r="J280" s="4" t="s">
        <v>281</v>
      </c>
      <c r="K280" s="5" t="s">
        <v>282</v>
      </c>
      <c r="L280" s="6" t="str">
        <f t="shared" si="40"/>
        <v>EE1</v>
      </c>
      <c r="M280" s="13" t="s">
        <v>323</v>
      </c>
      <c r="N280" s="7" t="s">
        <v>3618</v>
      </c>
      <c r="O280" s="13" t="s">
        <v>884</v>
      </c>
      <c r="P280" s="115"/>
      <c r="Q280" s="8"/>
      <c r="R280" s="2">
        <v>1</v>
      </c>
      <c r="S280" s="9">
        <v>1000</v>
      </c>
      <c r="T280" s="10">
        <f t="shared" si="41"/>
        <v>500</v>
      </c>
      <c r="U280" s="9">
        <v>50</v>
      </c>
      <c r="V280" s="10">
        <f t="shared" si="42"/>
        <v>450</v>
      </c>
      <c r="W280" s="4" t="s">
        <v>122</v>
      </c>
      <c r="X280" s="2"/>
      <c r="Y280" s="11">
        <v>4</v>
      </c>
      <c r="Z280" s="12">
        <f t="shared" si="43"/>
        <v>1</v>
      </c>
      <c r="AA280" s="4" t="s">
        <v>27</v>
      </c>
      <c r="AC280" s="176">
        <f t="shared" si="44"/>
        <v>4.5454545454545456E-2</v>
      </c>
    </row>
    <row r="281" spans="1:29" customFormat="1">
      <c r="A281" s="181"/>
      <c r="B281" s="183">
        <f t="shared" si="45"/>
        <v>8</v>
      </c>
      <c r="C281" s="107" t="str">
        <f t="shared" si="46"/>
        <v>ATK</v>
      </c>
      <c r="D281" s="2" t="s">
        <v>312</v>
      </c>
      <c r="E281" s="3">
        <v>43879</v>
      </c>
      <c r="F281" s="3">
        <v>43879</v>
      </c>
      <c r="G281" s="108">
        <f t="shared" si="47"/>
        <v>2</v>
      </c>
      <c r="H281" s="108" t="str">
        <f t="shared" si="48"/>
        <v>완료</v>
      </c>
      <c r="I281" s="112" t="s">
        <v>218</v>
      </c>
      <c r="J281" s="4" t="s">
        <v>481</v>
      </c>
      <c r="K281" s="5" t="s">
        <v>695</v>
      </c>
      <c r="L281" s="6" t="str">
        <f t="shared" si="40"/>
        <v>2T2</v>
      </c>
      <c r="M281" s="13" t="s">
        <v>256</v>
      </c>
      <c r="N281" s="7" t="s">
        <v>3529</v>
      </c>
      <c r="O281" s="13" t="s">
        <v>885</v>
      </c>
      <c r="P281" s="115"/>
      <c r="Q281" s="8"/>
      <c r="R281" s="2">
        <v>1</v>
      </c>
      <c r="S281" s="9">
        <v>500</v>
      </c>
      <c r="T281" s="10">
        <f t="shared" si="41"/>
        <v>250</v>
      </c>
      <c r="U281" s="9">
        <v>0</v>
      </c>
      <c r="V281" s="10">
        <f t="shared" si="42"/>
        <v>250</v>
      </c>
      <c r="W281" s="4" t="s">
        <v>122</v>
      </c>
      <c r="X281" s="2"/>
      <c r="Y281" s="11">
        <v>2</v>
      </c>
      <c r="Z281" s="12">
        <f t="shared" si="43"/>
        <v>0</v>
      </c>
      <c r="AA281" s="4" t="s">
        <v>27</v>
      </c>
      <c r="AC281" s="176">
        <f t="shared" si="44"/>
        <v>0</v>
      </c>
    </row>
    <row r="282" spans="1:29" customFormat="1">
      <c r="A282" s="181"/>
      <c r="B282" s="183">
        <f t="shared" si="45"/>
        <v>8</v>
      </c>
      <c r="C282" s="107" t="str">
        <f t="shared" si="46"/>
        <v>ATK</v>
      </c>
      <c r="D282" s="2" t="s">
        <v>886</v>
      </c>
      <c r="E282" s="3">
        <v>43872</v>
      </c>
      <c r="F282" s="3">
        <v>43880</v>
      </c>
      <c r="G282" s="108">
        <f t="shared" si="47"/>
        <v>2</v>
      </c>
      <c r="H282" s="108" t="str">
        <f t="shared" si="48"/>
        <v>완료</v>
      </c>
      <c r="I282" s="112" t="s">
        <v>218</v>
      </c>
      <c r="J282" s="4" t="s">
        <v>243</v>
      </c>
      <c r="K282" s="5" t="s">
        <v>243</v>
      </c>
      <c r="L282" s="6" t="str">
        <f t="shared" si="40"/>
        <v>K5</v>
      </c>
      <c r="M282" s="13" t="s">
        <v>887</v>
      </c>
      <c r="N282" s="7" t="s">
        <v>3619</v>
      </c>
      <c r="O282" s="13" t="s">
        <v>888</v>
      </c>
      <c r="P282" s="115" t="s">
        <v>889</v>
      </c>
      <c r="Q282" s="8"/>
      <c r="R282" s="2">
        <v>1</v>
      </c>
      <c r="S282" s="9">
        <v>10000</v>
      </c>
      <c r="T282" s="10">
        <f t="shared" si="41"/>
        <v>5000</v>
      </c>
      <c r="U282" s="9">
        <v>300</v>
      </c>
      <c r="V282" s="10">
        <f t="shared" si="42"/>
        <v>4700</v>
      </c>
      <c r="W282" s="4" t="s">
        <v>122</v>
      </c>
      <c r="X282" s="2"/>
      <c r="Y282" s="11">
        <v>12</v>
      </c>
      <c r="Z282" s="12">
        <f t="shared" si="43"/>
        <v>8</v>
      </c>
      <c r="AA282" s="4" t="s">
        <v>117</v>
      </c>
      <c r="AC282" s="176">
        <f t="shared" si="44"/>
        <v>0.27272727272727271</v>
      </c>
    </row>
    <row r="283" spans="1:29" customFormat="1">
      <c r="A283" s="181"/>
      <c r="B283" s="183">
        <f t="shared" si="45"/>
        <v>8</v>
      </c>
      <c r="C283" s="107" t="str">
        <f t="shared" si="46"/>
        <v>ATK</v>
      </c>
      <c r="D283" s="2" t="s">
        <v>890</v>
      </c>
      <c r="E283" s="3">
        <v>43880</v>
      </c>
      <c r="F283" s="3">
        <v>43880</v>
      </c>
      <c r="G283" s="108">
        <f t="shared" si="47"/>
        <v>2</v>
      </c>
      <c r="H283" s="108" t="str">
        <f t="shared" si="48"/>
        <v>완료</v>
      </c>
      <c r="I283" s="112" t="s">
        <v>218</v>
      </c>
      <c r="J283" s="4" t="s">
        <v>127</v>
      </c>
      <c r="K283" s="5" t="s">
        <v>135</v>
      </c>
      <c r="L283" s="6" t="str">
        <f t="shared" si="40"/>
        <v>1T3</v>
      </c>
      <c r="M283" s="13" t="s">
        <v>256</v>
      </c>
      <c r="N283" s="7" t="s">
        <v>3506</v>
      </c>
      <c r="O283" s="13" t="s">
        <v>891</v>
      </c>
      <c r="P283" s="115" t="s">
        <v>892</v>
      </c>
      <c r="Q283" s="8"/>
      <c r="R283" s="2">
        <v>1</v>
      </c>
      <c r="S283" s="9">
        <v>3500</v>
      </c>
      <c r="T283" s="10">
        <f t="shared" si="41"/>
        <v>1750</v>
      </c>
      <c r="U283" s="9">
        <v>150</v>
      </c>
      <c r="V283" s="10">
        <f t="shared" si="42"/>
        <v>1600</v>
      </c>
      <c r="W283" s="4" t="s">
        <v>122</v>
      </c>
      <c r="X283" s="2"/>
      <c r="Y283" s="11">
        <v>8</v>
      </c>
      <c r="Z283" s="12">
        <f t="shared" si="43"/>
        <v>0</v>
      </c>
      <c r="AA283" s="4" t="s">
        <v>259</v>
      </c>
      <c r="AC283" s="176">
        <f t="shared" si="44"/>
        <v>0.13636363636363635</v>
      </c>
    </row>
    <row r="284" spans="1:29" customFormat="1">
      <c r="A284" s="181"/>
      <c r="B284" s="183">
        <f t="shared" si="45"/>
        <v>8</v>
      </c>
      <c r="C284" s="107" t="str">
        <f t="shared" si="46"/>
        <v>ATK</v>
      </c>
      <c r="D284" s="2" t="s">
        <v>893</v>
      </c>
      <c r="E284" s="3">
        <v>43880</v>
      </c>
      <c r="F284" s="3">
        <v>43880</v>
      </c>
      <c r="G284" s="108">
        <f t="shared" si="47"/>
        <v>2</v>
      </c>
      <c r="H284" s="108" t="str">
        <f t="shared" si="48"/>
        <v>완료</v>
      </c>
      <c r="I284" s="112" t="s">
        <v>218</v>
      </c>
      <c r="J284" s="4" t="s">
        <v>118</v>
      </c>
      <c r="K284" s="5" t="s">
        <v>137</v>
      </c>
      <c r="L284" s="6" t="str">
        <f t="shared" si="40"/>
        <v>2T2</v>
      </c>
      <c r="M284" s="13" t="s">
        <v>256</v>
      </c>
      <c r="N284" s="7" t="s">
        <v>3522</v>
      </c>
      <c r="O284" s="13" t="s">
        <v>894</v>
      </c>
      <c r="P284" s="115" t="s">
        <v>895</v>
      </c>
      <c r="Q284" s="8"/>
      <c r="R284" s="2">
        <v>1</v>
      </c>
      <c r="S284" s="9">
        <v>1600</v>
      </c>
      <c r="T284" s="10">
        <f t="shared" si="41"/>
        <v>800</v>
      </c>
      <c r="U284" s="9">
        <v>40</v>
      </c>
      <c r="V284" s="10">
        <f t="shared" si="42"/>
        <v>760</v>
      </c>
      <c r="W284" s="4" t="s">
        <v>122</v>
      </c>
      <c r="X284" s="2"/>
      <c r="Y284" s="11">
        <v>1</v>
      </c>
      <c r="Z284" s="12">
        <f t="shared" si="43"/>
        <v>0</v>
      </c>
      <c r="AA284" s="4" t="s">
        <v>117</v>
      </c>
      <c r="AC284" s="176">
        <f t="shared" si="44"/>
        <v>3.6363636363636362E-2</v>
      </c>
    </row>
    <row r="285" spans="1:29" customFormat="1">
      <c r="A285" s="181"/>
      <c r="B285" s="183">
        <f t="shared" si="45"/>
        <v>8</v>
      </c>
      <c r="C285" s="107" t="str">
        <f t="shared" si="46"/>
        <v>ATK</v>
      </c>
      <c r="D285" s="2" t="s">
        <v>379</v>
      </c>
      <c r="E285" s="3">
        <v>43840</v>
      </c>
      <c r="F285" s="3">
        <v>43881</v>
      </c>
      <c r="G285" s="108">
        <f t="shared" si="47"/>
        <v>2</v>
      </c>
      <c r="H285" s="108" t="str">
        <f t="shared" si="48"/>
        <v>완료</v>
      </c>
      <c r="I285" s="112" t="s">
        <v>218</v>
      </c>
      <c r="J285" s="4" t="s">
        <v>132</v>
      </c>
      <c r="K285" s="5" t="s">
        <v>322</v>
      </c>
      <c r="L285" s="6" t="str">
        <f t="shared" si="40"/>
        <v>3T1</v>
      </c>
      <c r="M285" s="13" t="s">
        <v>879</v>
      </c>
      <c r="N285" s="7" t="s">
        <v>3616</v>
      </c>
      <c r="O285" s="13" t="s">
        <v>897</v>
      </c>
      <c r="P285" s="115" t="s">
        <v>898</v>
      </c>
      <c r="Q285" s="8" t="s">
        <v>881</v>
      </c>
      <c r="R285" s="2">
        <v>1</v>
      </c>
      <c r="S285" s="9">
        <v>400</v>
      </c>
      <c r="T285" s="10">
        <f t="shared" si="41"/>
        <v>200</v>
      </c>
      <c r="U285" s="9">
        <v>4</v>
      </c>
      <c r="V285" s="10">
        <f t="shared" si="42"/>
        <v>196</v>
      </c>
      <c r="W285" s="4" t="s">
        <v>122</v>
      </c>
      <c r="X285" s="2"/>
      <c r="Y285" s="11">
        <v>3</v>
      </c>
      <c r="Z285" s="12">
        <f t="shared" si="43"/>
        <v>41</v>
      </c>
      <c r="AA285" s="4" t="s">
        <v>120</v>
      </c>
      <c r="AC285" s="176">
        <f t="shared" si="44"/>
        <v>3.6363636363636364E-3</v>
      </c>
    </row>
    <row r="286" spans="1:29" customFormat="1">
      <c r="A286" s="181"/>
      <c r="B286" s="183">
        <f t="shared" si="45"/>
        <v>8</v>
      </c>
      <c r="C286" s="107" t="str">
        <f t="shared" si="46"/>
        <v>ATK</v>
      </c>
      <c r="D286" s="2" t="s">
        <v>704</v>
      </c>
      <c r="E286" s="3">
        <v>43880</v>
      </c>
      <c r="F286" s="3">
        <v>43881</v>
      </c>
      <c r="G286" s="108">
        <f t="shared" si="47"/>
        <v>2</v>
      </c>
      <c r="H286" s="108" t="str">
        <f t="shared" si="48"/>
        <v>완료</v>
      </c>
      <c r="I286" s="112" t="s">
        <v>218</v>
      </c>
      <c r="J286" s="4" t="s">
        <v>127</v>
      </c>
      <c r="K286" s="5" t="s">
        <v>131</v>
      </c>
      <c r="L286" s="6" t="str">
        <f t="shared" si="40"/>
        <v>1T4</v>
      </c>
      <c r="M286" s="13" t="s">
        <v>705</v>
      </c>
      <c r="N286" s="7"/>
      <c r="O286" s="13" t="s">
        <v>207</v>
      </c>
      <c r="P286" s="115" t="s">
        <v>899</v>
      </c>
      <c r="Q286" s="8"/>
      <c r="R286" s="2">
        <v>1</v>
      </c>
      <c r="S286" s="9">
        <v>1500</v>
      </c>
      <c r="T286" s="10">
        <f t="shared" si="41"/>
        <v>750</v>
      </c>
      <c r="U286" s="9">
        <v>150</v>
      </c>
      <c r="V286" s="10">
        <f t="shared" si="42"/>
        <v>600</v>
      </c>
      <c r="W286" s="4" t="s">
        <v>122</v>
      </c>
      <c r="X286" s="2"/>
      <c r="Y286" s="11">
        <v>2</v>
      </c>
      <c r="Z286" s="12">
        <f t="shared" si="43"/>
        <v>1</v>
      </c>
      <c r="AA286" s="4" t="s">
        <v>117</v>
      </c>
      <c r="AC286" s="176">
        <f t="shared" si="44"/>
        <v>0.13636363636363635</v>
      </c>
    </row>
    <row r="287" spans="1:29" customFormat="1">
      <c r="A287" s="181"/>
      <c r="B287" s="183">
        <f t="shared" si="45"/>
        <v>8</v>
      </c>
      <c r="C287" s="107" t="str">
        <f t="shared" si="46"/>
        <v>ATK</v>
      </c>
      <c r="D287" s="2" t="s">
        <v>902</v>
      </c>
      <c r="E287" s="3">
        <v>43881</v>
      </c>
      <c r="F287" s="3">
        <v>43881</v>
      </c>
      <c r="G287" s="108">
        <f t="shared" si="47"/>
        <v>2</v>
      </c>
      <c r="H287" s="108" t="str">
        <f t="shared" si="48"/>
        <v>완료</v>
      </c>
      <c r="I287" s="112" t="s">
        <v>218</v>
      </c>
      <c r="J287" s="4" t="s">
        <v>127</v>
      </c>
      <c r="K287" s="5" t="s">
        <v>904</v>
      </c>
      <c r="L287" s="6" t="str">
        <f t="shared" si="40"/>
        <v>1T5</v>
      </c>
      <c r="M287" s="13" t="s">
        <v>270</v>
      </c>
      <c r="N287" s="13" t="s">
        <v>3620</v>
      </c>
      <c r="O287" s="7" t="s">
        <v>270</v>
      </c>
      <c r="P287" s="115" t="s">
        <v>903</v>
      </c>
      <c r="Q287" s="8"/>
      <c r="R287" s="2">
        <v>1</v>
      </c>
      <c r="S287" s="9">
        <v>680</v>
      </c>
      <c r="T287" s="10">
        <f t="shared" si="41"/>
        <v>340</v>
      </c>
      <c r="U287" s="9">
        <v>1</v>
      </c>
      <c r="V287" s="10">
        <f t="shared" si="42"/>
        <v>339</v>
      </c>
      <c r="W287" s="4" t="s">
        <v>122</v>
      </c>
      <c r="X287" s="2"/>
      <c r="Y287" s="11">
        <v>2</v>
      </c>
      <c r="Z287" s="12">
        <f t="shared" si="43"/>
        <v>0</v>
      </c>
      <c r="AA287" s="4" t="s">
        <v>120</v>
      </c>
      <c r="AC287" s="176">
        <f t="shared" si="44"/>
        <v>9.0909090909090909E-4</v>
      </c>
    </row>
    <row r="288" spans="1:29" customFormat="1">
      <c r="A288" s="181"/>
      <c r="B288" s="183">
        <f t="shared" si="45"/>
        <v>8</v>
      </c>
      <c r="C288" s="107" t="str">
        <f t="shared" si="46"/>
        <v>ATK</v>
      </c>
      <c r="D288" s="2" t="s">
        <v>472</v>
      </c>
      <c r="E288" s="3">
        <v>43844</v>
      </c>
      <c r="F288" s="3">
        <v>43881</v>
      </c>
      <c r="G288" s="108">
        <f t="shared" si="47"/>
        <v>2</v>
      </c>
      <c r="H288" s="108" t="str">
        <f t="shared" si="48"/>
        <v>완료</v>
      </c>
      <c r="I288" s="112" t="s">
        <v>218</v>
      </c>
      <c r="J288" s="4" t="s">
        <v>121</v>
      </c>
      <c r="K288" s="5" t="s">
        <v>229</v>
      </c>
      <c r="L288" s="6" t="str">
        <f t="shared" si="40"/>
        <v>5T2</v>
      </c>
      <c r="M288" s="13" t="s">
        <v>879</v>
      </c>
      <c r="N288" s="7" t="s">
        <v>3616</v>
      </c>
      <c r="O288" s="13" t="s">
        <v>905</v>
      </c>
      <c r="P288" s="115" t="s">
        <v>906</v>
      </c>
      <c r="Q288" s="8" t="s">
        <v>907</v>
      </c>
      <c r="R288" s="2">
        <v>1</v>
      </c>
      <c r="S288" s="9">
        <v>400</v>
      </c>
      <c r="T288" s="10">
        <f t="shared" si="41"/>
        <v>200</v>
      </c>
      <c r="U288" s="9">
        <v>3</v>
      </c>
      <c r="V288" s="10">
        <f t="shared" si="42"/>
        <v>197</v>
      </c>
      <c r="W288" s="4" t="s">
        <v>122</v>
      </c>
      <c r="X288" s="2"/>
      <c r="Y288" s="11">
        <v>3</v>
      </c>
      <c r="Z288" s="12">
        <f t="shared" si="43"/>
        <v>37</v>
      </c>
      <c r="AA288" s="4" t="s">
        <v>120</v>
      </c>
      <c r="AC288" s="176">
        <f t="shared" si="44"/>
        <v>2.7272727272727275E-3</v>
      </c>
    </row>
    <row r="289" spans="1:29" customFormat="1">
      <c r="A289" s="181"/>
      <c r="B289" s="183">
        <f t="shared" si="45"/>
        <v>8</v>
      </c>
      <c r="C289" s="107" t="str">
        <f t="shared" si="46"/>
        <v>ATK</v>
      </c>
      <c r="D289" s="2" t="s">
        <v>908</v>
      </c>
      <c r="E289" s="3">
        <v>43881</v>
      </c>
      <c r="F289" s="3">
        <v>43881</v>
      </c>
      <c r="G289" s="108">
        <f t="shared" si="47"/>
        <v>2</v>
      </c>
      <c r="H289" s="108" t="str">
        <f t="shared" si="48"/>
        <v>완료</v>
      </c>
      <c r="I289" s="112" t="s">
        <v>218</v>
      </c>
      <c r="J289" s="4" t="s">
        <v>132</v>
      </c>
      <c r="K289" s="5" t="s">
        <v>143</v>
      </c>
      <c r="L289" s="6" t="str">
        <f t="shared" si="40"/>
        <v>3T4</v>
      </c>
      <c r="M289" s="13" t="s">
        <v>909</v>
      </c>
      <c r="N289" s="7"/>
      <c r="O289" s="13" t="s">
        <v>910</v>
      </c>
      <c r="P289" s="115" t="s">
        <v>911</v>
      </c>
      <c r="Q289" s="8"/>
      <c r="R289" s="2">
        <v>1</v>
      </c>
      <c r="S289" s="9">
        <v>1500</v>
      </c>
      <c r="T289" s="10">
        <f t="shared" si="41"/>
        <v>750</v>
      </c>
      <c r="U289" s="9">
        <v>60</v>
      </c>
      <c r="V289" s="10">
        <f t="shared" si="42"/>
        <v>690</v>
      </c>
      <c r="W289" s="4" t="s">
        <v>122</v>
      </c>
      <c r="X289" s="2"/>
      <c r="Y289" s="11">
        <v>4</v>
      </c>
      <c r="Z289" s="12">
        <f t="shared" si="43"/>
        <v>0</v>
      </c>
      <c r="AA289" s="4" t="s">
        <v>259</v>
      </c>
      <c r="AC289" s="176">
        <f t="shared" si="44"/>
        <v>5.4545454545454543E-2</v>
      </c>
    </row>
    <row r="290" spans="1:29" customFormat="1">
      <c r="A290" s="181"/>
      <c r="B290" s="183">
        <f t="shared" si="45"/>
        <v>8</v>
      </c>
      <c r="C290" s="107" t="str">
        <f t="shared" si="46"/>
        <v>ATK</v>
      </c>
      <c r="D290" s="2" t="s">
        <v>914</v>
      </c>
      <c r="E290" s="3">
        <v>43881</v>
      </c>
      <c r="F290" s="3">
        <v>43881</v>
      </c>
      <c r="G290" s="108">
        <f t="shared" si="47"/>
        <v>2</v>
      </c>
      <c r="H290" s="108" t="str">
        <f t="shared" si="48"/>
        <v>완료</v>
      </c>
      <c r="I290" s="112" t="s">
        <v>218</v>
      </c>
      <c r="J290" s="4" t="s">
        <v>115</v>
      </c>
      <c r="K290" s="5" t="s">
        <v>116</v>
      </c>
      <c r="L290" s="6" t="str">
        <f t="shared" si="40"/>
        <v>EE2</v>
      </c>
      <c r="M290" s="13" t="s">
        <v>913</v>
      </c>
      <c r="N290" s="7"/>
      <c r="O290" s="13" t="s">
        <v>315</v>
      </c>
      <c r="P290" s="115" t="s">
        <v>912</v>
      </c>
      <c r="Q290" s="8"/>
      <c r="R290" s="2">
        <v>1</v>
      </c>
      <c r="S290" s="9">
        <v>300</v>
      </c>
      <c r="T290" s="10">
        <f t="shared" si="41"/>
        <v>150</v>
      </c>
      <c r="U290" s="9">
        <v>10</v>
      </c>
      <c r="V290" s="10">
        <f t="shared" si="42"/>
        <v>140</v>
      </c>
      <c r="W290" s="4" t="s">
        <v>122</v>
      </c>
      <c r="X290" s="2"/>
      <c r="Y290" s="11">
        <v>4</v>
      </c>
      <c r="Z290" s="12">
        <f t="shared" si="43"/>
        <v>0</v>
      </c>
      <c r="AA290" s="4" t="s">
        <v>259</v>
      </c>
      <c r="AC290" s="176">
        <f t="shared" si="44"/>
        <v>9.0909090909090905E-3</v>
      </c>
    </row>
    <row r="291" spans="1:29" customFormat="1">
      <c r="A291" s="181"/>
      <c r="B291" s="183">
        <f t="shared" si="45"/>
        <v>16</v>
      </c>
      <c r="C291" s="107" t="str">
        <f t="shared" si="46"/>
        <v>ATK</v>
      </c>
      <c r="D291" s="2" t="s">
        <v>777</v>
      </c>
      <c r="E291" s="3">
        <v>43881</v>
      </c>
      <c r="F291" s="3">
        <v>43938</v>
      </c>
      <c r="G291" s="108">
        <f t="shared" si="47"/>
        <v>4</v>
      </c>
      <c r="H291" s="108" t="str">
        <f t="shared" si="48"/>
        <v>완료</v>
      </c>
      <c r="I291" s="112" t="s">
        <v>218</v>
      </c>
      <c r="J291" s="4" t="s">
        <v>121</v>
      </c>
      <c r="K291" s="5" t="s">
        <v>229</v>
      </c>
      <c r="L291" s="6" t="str">
        <f t="shared" si="40"/>
        <v>5T2</v>
      </c>
      <c r="M291" s="13" t="s">
        <v>915</v>
      </c>
      <c r="N291" s="7" t="s">
        <v>3595</v>
      </c>
      <c r="O291" s="13" t="s">
        <v>916</v>
      </c>
      <c r="P291" s="115" t="s">
        <v>917</v>
      </c>
      <c r="Q291" s="8"/>
      <c r="R291" s="2">
        <v>1</v>
      </c>
      <c r="S291" s="9">
        <v>1000</v>
      </c>
      <c r="T291" s="10">
        <f t="shared" si="41"/>
        <v>500</v>
      </c>
      <c r="U291" s="9"/>
      <c r="V291" s="10">
        <f t="shared" si="42"/>
        <v>500</v>
      </c>
      <c r="W291" s="4" t="s">
        <v>122</v>
      </c>
      <c r="X291" s="2"/>
      <c r="Y291" s="11">
        <v>5</v>
      </c>
      <c r="Z291" s="12">
        <f t="shared" si="43"/>
        <v>57</v>
      </c>
      <c r="AA291" s="4" t="s">
        <v>212</v>
      </c>
      <c r="AC291" s="176">
        <f t="shared" si="44"/>
        <v>0</v>
      </c>
    </row>
    <row r="292" spans="1:29" customFormat="1">
      <c r="A292" s="181"/>
      <c r="B292" s="183">
        <f t="shared" si="45"/>
        <v>9</v>
      </c>
      <c r="C292" s="107" t="str">
        <f t="shared" si="46"/>
        <v>ATK</v>
      </c>
      <c r="D292" s="2" t="s">
        <v>919</v>
      </c>
      <c r="E292" s="3">
        <v>43878</v>
      </c>
      <c r="F292" s="3">
        <v>43885</v>
      </c>
      <c r="G292" s="108">
        <f t="shared" si="47"/>
        <v>2</v>
      </c>
      <c r="H292" s="108" t="str">
        <f t="shared" si="48"/>
        <v>완료</v>
      </c>
      <c r="I292" s="112" t="s">
        <v>218</v>
      </c>
      <c r="J292" s="4" t="s">
        <v>920</v>
      </c>
      <c r="K292" s="5" t="s">
        <v>921</v>
      </c>
      <c r="L292" s="6" t="str">
        <f t="shared" si="40"/>
        <v>6T2</v>
      </c>
      <c r="M292" s="13" t="s">
        <v>213</v>
      </c>
      <c r="N292" s="7" t="s">
        <v>3560</v>
      </c>
      <c r="O292" s="13" t="s">
        <v>270</v>
      </c>
      <c r="P292" s="115" t="s">
        <v>271</v>
      </c>
      <c r="Q292" s="8"/>
      <c r="R292" s="2">
        <v>1</v>
      </c>
      <c r="S292" s="9">
        <v>910</v>
      </c>
      <c r="T292" s="10">
        <f t="shared" si="41"/>
        <v>455</v>
      </c>
      <c r="U292" s="9">
        <v>100</v>
      </c>
      <c r="V292" s="10">
        <f t="shared" si="42"/>
        <v>355</v>
      </c>
      <c r="W292" s="4" t="s">
        <v>951</v>
      </c>
      <c r="X292" s="2"/>
      <c r="Y292" s="11">
        <v>2</v>
      </c>
      <c r="Z292" s="12">
        <f t="shared" si="43"/>
        <v>7</v>
      </c>
      <c r="AA292" s="4" t="s">
        <v>922</v>
      </c>
      <c r="AC292" s="176">
        <f t="shared" si="44"/>
        <v>9.0909090909090912E-2</v>
      </c>
    </row>
    <row r="293" spans="1:29" customFormat="1">
      <c r="A293" s="181"/>
      <c r="B293" s="183">
        <f t="shared" si="45"/>
        <v>9</v>
      </c>
      <c r="C293" s="107" t="str">
        <f t="shared" si="46"/>
        <v>ATK</v>
      </c>
      <c r="D293" s="2" t="s">
        <v>923</v>
      </c>
      <c r="E293" s="3">
        <v>43882</v>
      </c>
      <c r="F293" s="3">
        <v>43886</v>
      </c>
      <c r="G293" s="108">
        <f t="shared" si="47"/>
        <v>2</v>
      </c>
      <c r="H293" s="108" t="str">
        <f t="shared" si="48"/>
        <v>완료</v>
      </c>
      <c r="I293" s="112" t="s">
        <v>218</v>
      </c>
      <c r="J293" s="4" t="s">
        <v>924</v>
      </c>
      <c r="K293" s="5" t="s">
        <v>332</v>
      </c>
      <c r="L293" s="6" t="str">
        <f t="shared" si="40"/>
        <v>EE2</v>
      </c>
      <c r="M293" s="13" t="s">
        <v>925</v>
      </c>
      <c r="N293" s="7" t="s">
        <v>3621</v>
      </c>
      <c r="O293" s="13" t="s">
        <v>926</v>
      </c>
      <c r="P293" s="115" t="s">
        <v>939</v>
      </c>
      <c r="Q293" s="8"/>
      <c r="R293" s="2">
        <v>4</v>
      </c>
      <c r="S293" s="9">
        <v>1600</v>
      </c>
      <c r="T293" s="10">
        <f t="shared" si="41"/>
        <v>3200</v>
      </c>
      <c r="U293" s="9">
        <v>200</v>
      </c>
      <c r="V293" s="10">
        <f t="shared" si="42"/>
        <v>3000</v>
      </c>
      <c r="W293" s="4" t="s">
        <v>957</v>
      </c>
      <c r="X293" s="2"/>
      <c r="Y293" s="11">
        <v>6</v>
      </c>
      <c r="Z293" s="12">
        <f t="shared" si="43"/>
        <v>4</v>
      </c>
      <c r="AA293" s="4" t="s">
        <v>927</v>
      </c>
      <c r="AC293" s="176">
        <f t="shared" si="44"/>
        <v>0.18181818181818182</v>
      </c>
    </row>
    <row r="294" spans="1:29" customFormat="1">
      <c r="A294" s="181"/>
      <c r="B294" s="183">
        <f t="shared" si="45"/>
        <v>8</v>
      </c>
      <c r="C294" s="107" t="str">
        <f t="shared" si="46"/>
        <v>ATK</v>
      </c>
      <c r="D294" s="2" t="s">
        <v>928</v>
      </c>
      <c r="E294" s="3">
        <v>43882</v>
      </c>
      <c r="F294" s="189">
        <v>43882</v>
      </c>
      <c r="G294" s="108">
        <f t="shared" si="47"/>
        <v>2</v>
      </c>
      <c r="H294" s="108" t="str">
        <f t="shared" si="48"/>
        <v>완료</v>
      </c>
      <c r="I294" s="112" t="s">
        <v>218</v>
      </c>
      <c r="J294" s="4" t="s">
        <v>115</v>
      </c>
      <c r="K294" s="5" t="s">
        <v>116</v>
      </c>
      <c r="L294" s="6" t="str">
        <f t="shared" si="40"/>
        <v>EE2</v>
      </c>
      <c r="M294" s="13" t="s">
        <v>929</v>
      </c>
      <c r="N294" s="7"/>
      <c r="O294" s="13" t="s">
        <v>315</v>
      </c>
      <c r="P294" s="115"/>
      <c r="Q294" s="8"/>
      <c r="R294" s="2">
        <v>2</v>
      </c>
      <c r="S294" s="9">
        <v>800</v>
      </c>
      <c r="T294" s="10">
        <f t="shared" si="41"/>
        <v>800</v>
      </c>
      <c r="U294" s="9"/>
      <c r="V294" s="10">
        <f t="shared" si="42"/>
        <v>800</v>
      </c>
      <c r="W294" s="4" t="s">
        <v>122</v>
      </c>
      <c r="X294" s="2"/>
      <c r="Y294" s="11">
        <v>8</v>
      </c>
      <c r="Z294" s="12">
        <f t="shared" si="43"/>
        <v>0</v>
      </c>
      <c r="AA294" s="4" t="s">
        <v>259</v>
      </c>
      <c r="AC294" s="176">
        <f t="shared" si="44"/>
        <v>0</v>
      </c>
    </row>
    <row r="295" spans="1:29" customFormat="1">
      <c r="A295" s="181"/>
      <c r="B295" s="183">
        <f t="shared" si="45"/>
        <v>8</v>
      </c>
      <c r="C295" s="107" t="str">
        <f t="shared" si="46"/>
        <v>ATK</v>
      </c>
      <c r="D295" s="2" t="s">
        <v>932</v>
      </c>
      <c r="E295" s="3">
        <v>43882</v>
      </c>
      <c r="F295" s="3">
        <v>43882</v>
      </c>
      <c r="G295" s="108">
        <f t="shared" si="47"/>
        <v>2</v>
      </c>
      <c r="H295" s="108" t="str">
        <f t="shared" si="48"/>
        <v>완료</v>
      </c>
      <c r="I295" s="112" t="s">
        <v>218</v>
      </c>
      <c r="J295" s="4" t="s">
        <v>127</v>
      </c>
      <c r="K295" s="5" t="s">
        <v>135</v>
      </c>
      <c r="L295" s="6" t="str">
        <f t="shared" si="40"/>
        <v>1T3</v>
      </c>
      <c r="M295" s="13"/>
      <c r="N295" s="7"/>
      <c r="O295" s="13" t="s">
        <v>931</v>
      </c>
      <c r="P295" s="115" t="s">
        <v>930</v>
      </c>
      <c r="Q295" s="8"/>
      <c r="R295" s="2">
        <v>1</v>
      </c>
      <c r="S295" s="9">
        <v>1200</v>
      </c>
      <c r="T295" s="10">
        <f t="shared" si="41"/>
        <v>600</v>
      </c>
      <c r="U295" s="9"/>
      <c r="V295" s="10">
        <f t="shared" si="42"/>
        <v>600</v>
      </c>
      <c r="W295" s="4" t="s">
        <v>122</v>
      </c>
      <c r="X295" s="2"/>
      <c r="Y295" s="11">
        <v>8</v>
      </c>
      <c r="Z295" s="12">
        <f t="shared" si="43"/>
        <v>0</v>
      </c>
      <c r="AA295" s="4" t="s">
        <v>212</v>
      </c>
      <c r="AC295" s="176">
        <f t="shared" si="44"/>
        <v>0</v>
      </c>
    </row>
    <row r="296" spans="1:29" customFormat="1">
      <c r="A296" s="181"/>
      <c r="B296" s="183">
        <f t="shared" si="45"/>
        <v>8</v>
      </c>
      <c r="C296" s="107" t="str">
        <f t="shared" si="46"/>
        <v>ATK</v>
      </c>
      <c r="D296" s="2" t="s">
        <v>933</v>
      </c>
      <c r="E296" s="3">
        <v>43882</v>
      </c>
      <c r="F296" s="3">
        <v>43882</v>
      </c>
      <c r="G296" s="108">
        <f t="shared" si="47"/>
        <v>2</v>
      </c>
      <c r="H296" s="108" t="str">
        <f t="shared" si="48"/>
        <v>완료</v>
      </c>
      <c r="I296" s="112" t="s">
        <v>218</v>
      </c>
      <c r="J296" s="4" t="s">
        <v>115</v>
      </c>
      <c r="K296" s="5" t="s">
        <v>138</v>
      </c>
      <c r="L296" s="6" t="str">
        <f t="shared" si="40"/>
        <v>EE1</v>
      </c>
      <c r="M296" s="13" t="s">
        <v>934</v>
      </c>
      <c r="N296" s="13"/>
      <c r="O296" s="7" t="s">
        <v>935</v>
      </c>
      <c r="P296" s="115" t="s">
        <v>936</v>
      </c>
      <c r="Q296" s="8"/>
      <c r="R296" s="2">
        <v>1</v>
      </c>
      <c r="S296" s="9">
        <v>2800</v>
      </c>
      <c r="T296" s="10">
        <f t="shared" si="41"/>
        <v>1400</v>
      </c>
      <c r="U296" s="9">
        <v>50</v>
      </c>
      <c r="V296" s="10">
        <f t="shared" si="42"/>
        <v>1350</v>
      </c>
      <c r="W296" s="4" t="s">
        <v>122</v>
      </c>
      <c r="X296" s="2"/>
      <c r="Y296" s="11">
        <v>4</v>
      </c>
      <c r="Z296" s="12">
        <f t="shared" si="43"/>
        <v>0</v>
      </c>
      <c r="AA296" s="4" t="s">
        <v>174</v>
      </c>
      <c r="AC296" s="176">
        <f t="shared" si="44"/>
        <v>4.5454545454545456E-2</v>
      </c>
    </row>
    <row r="297" spans="1:29" customFormat="1">
      <c r="A297" s="181"/>
      <c r="B297" s="183">
        <f t="shared" si="45"/>
        <v>9</v>
      </c>
      <c r="C297" s="107" t="str">
        <f t="shared" si="46"/>
        <v>ATK</v>
      </c>
      <c r="D297" s="2" t="s">
        <v>937</v>
      </c>
      <c r="E297" s="3">
        <v>43882</v>
      </c>
      <c r="F297" s="3">
        <v>43885</v>
      </c>
      <c r="G297" s="108">
        <f t="shared" si="47"/>
        <v>2</v>
      </c>
      <c r="H297" s="108" t="str">
        <f t="shared" si="48"/>
        <v>완료</v>
      </c>
      <c r="I297" s="112" t="s">
        <v>218</v>
      </c>
      <c r="J297" s="4" t="s">
        <v>115</v>
      </c>
      <c r="K297" s="5" t="s">
        <v>138</v>
      </c>
      <c r="L297" s="6" t="str">
        <f t="shared" si="40"/>
        <v>EE1</v>
      </c>
      <c r="M297" s="13" t="s">
        <v>216</v>
      </c>
      <c r="N297" s="7" t="s">
        <v>3622</v>
      </c>
      <c r="O297" s="13" t="s">
        <v>461</v>
      </c>
      <c r="P297" s="115" t="s">
        <v>938</v>
      </c>
      <c r="Q297" s="8"/>
      <c r="R297" s="2">
        <v>1</v>
      </c>
      <c r="S297" s="9">
        <v>900</v>
      </c>
      <c r="T297" s="10">
        <f t="shared" si="41"/>
        <v>450</v>
      </c>
      <c r="U297" s="9">
        <v>5</v>
      </c>
      <c r="V297" s="10">
        <f t="shared" si="42"/>
        <v>445</v>
      </c>
      <c r="W297" s="4" t="s">
        <v>122</v>
      </c>
      <c r="X297" s="2"/>
      <c r="Y297" s="11">
        <v>1</v>
      </c>
      <c r="Z297" s="12">
        <f t="shared" si="43"/>
        <v>3</v>
      </c>
      <c r="AA297" s="4" t="s">
        <v>117</v>
      </c>
      <c r="AC297" s="176">
        <f t="shared" si="44"/>
        <v>4.5454545454545452E-3</v>
      </c>
    </row>
    <row r="298" spans="1:29" customFormat="1">
      <c r="A298" s="181"/>
      <c r="B298" s="183">
        <f t="shared" si="45"/>
        <v>9</v>
      </c>
      <c r="C298" s="107" t="str">
        <f t="shared" si="46"/>
        <v>ATK</v>
      </c>
      <c r="D298" s="2" t="s">
        <v>933</v>
      </c>
      <c r="E298" s="3">
        <v>43882</v>
      </c>
      <c r="F298" s="3">
        <v>43885</v>
      </c>
      <c r="G298" s="108">
        <f t="shared" si="47"/>
        <v>2</v>
      </c>
      <c r="H298" s="108" t="str">
        <f t="shared" si="48"/>
        <v>완료</v>
      </c>
      <c r="I298" s="112" t="s">
        <v>218</v>
      </c>
      <c r="J298" s="4" t="s">
        <v>115</v>
      </c>
      <c r="K298" s="5" t="s">
        <v>138</v>
      </c>
      <c r="L298" s="6" t="str">
        <f t="shared" si="40"/>
        <v>EE1</v>
      </c>
      <c r="M298" s="13" t="s">
        <v>934</v>
      </c>
      <c r="N298" s="13" t="s">
        <v>3623</v>
      </c>
      <c r="O298" s="7" t="s">
        <v>935</v>
      </c>
      <c r="P298" s="115" t="s">
        <v>500</v>
      </c>
      <c r="Q298" s="8"/>
      <c r="R298" s="2">
        <v>2</v>
      </c>
      <c r="S298" s="9">
        <v>2800</v>
      </c>
      <c r="T298" s="10">
        <f t="shared" si="41"/>
        <v>2800</v>
      </c>
      <c r="U298" s="9">
        <v>20</v>
      </c>
      <c r="V298" s="10">
        <f t="shared" si="42"/>
        <v>2780</v>
      </c>
      <c r="W298" s="4" t="s">
        <v>122</v>
      </c>
      <c r="X298" s="2"/>
      <c r="Y298" s="11">
        <v>4</v>
      </c>
      <c r="Z298" s="12">
        <f t="shared" si="43"/>
        <v>3</v>
      </c>
      <c r="AA298" s="4" t="s">
        <v>117</v>
      </c>
      <c r="AC298" s="176">
        <f t="shared" si="44"/>
        <v>1.8181818181818181E-2</v>
      </c>
    </row>
    <row r="299" spans="1:29" customFormat="1">
      <c r="A299" s="181"/>
      <c r="B299" s="183">
        <f t="shared" si="45"/>
        <v>9</v>
      </c>
      <c r="C299" s="107" t="str">
        <f t="shared" si="46"/>
        <v>ATK</v>
      </c>
      <c r="D299" s="2" t="s">
        <v>940</v>
      </c>
      <c r="E299" s="3">
        <v>43881</v>
      </c>
      <c r="F299" s="3">
        <v>43885</v>
      </c>
      <c r="G299" s="108">
        <f t="shared" si="47"/>
        <v>2</v>
      </c>
      <c r="H299" s="108" t="str">
        <f t="shared" si="48"/>
        <v>완료</v>
      </c>
      <c r="I299" s="112" t="s">
        <v>791</v>
      </c>
      <c r="J299" s="4" t="s">
        <v>941</v>
      </c>
      <c r="K299" s="5" t="s">
        <v>695</v>
      </c>
      <c r="L299" s="6" t="str">
        <f t="shared" si="40"/>
        <v>2T2</v>
      </c>
      <c r="M299" s="13" t="s">
        <v>256</v>
      </c>
      <c r="N299" s="7" t="s">
        <v>3624</v>
      </c>
      <c r="O299" s="13" t="s">
        <v>482</v>
      </c>
      <c r="P299" s="115" t="s">
        <v>950</v>
      </c>
      <c r="Q299" s="8"/>
      <c r="R299" s="2">
        <v>2</v>
      </c>
      <c r="S299" s="9">
        <v>1600</v>
      </c>
      <c r="T299" s="10">
        <f t="shared" si="41"/>
        <v>1600</v>
      </c>
      <c r="U299" s="9">
        <v>50</v>
      </c>
      <c r="V299" s="10">
        <f t="shared" si="42"/>
        <v>1550</v>
      </c>
      <c r="W299" s="4" t="s">
        <v>942</v>
      </c>
      <c r="X299" s="2"/>
      <c r="Y299" s="11">
        <v>4</v>
      </c>
      <c r="Z299" s="12">
        <f t="shared" si="43"/>
        <v>4</v>
      </c>
      <c r="AA299" s="4" t="s">
        <v>943</v>
      </c>
      <c r="AC299" s="176">
        <f t="shared" si="44"/>
        <v>4.5454545454545456E-2</v>
      </c>
    </row>
    <row r="300" spans="1:29" customFormat="1">
      <c r="A300" s="181"/>
      <c r="B300" s="183">
        <f t="shared" si="45"/>
        <v>9</v>
      </c>
      <c r="C300" s="107" t="str">
        <f t="shared" si="46"/>
        <v>ATK</v>
      </c>
      <c r="D300" s="2" t="s">
        <v>255</v>
      </c>
      <c r="E300" s="3">
        <v>43881</v>
      </c>
      <c r="F300" s="3">
        <v>43885</v>
      </c>
      <c r="G300" s="108">
        <f t="shared" si="47"/>
        <v>2</v>
      </c>
      <c r="H300" s="108" t="str">
        <f t="shared" si="48"/>
        <v>완료</v>
      </c>
      <c r="I300" s="112" t="s">
        <v>264</v>
      </c>
      <c r="J300" s="4" t="s">
        <v>127</v>
      </c>
      <c r="K300" s="5" t="s">
        <v>135</v>
      </c>
      <c r="L300" s="6" t="str">
        <f t="shared" si="40"/>
        <v>1T3</v>
      </c>
      <c r="M300" s="13" t="s">
        <v>256</v>
      </c>
      <c r="N300" s="7" t="s">
        <v>3529</v>
      </c>
      <c r="O300" s="13" t="s">
        <v>482</v>
      </c>
      <c r="P300" s="115" t="s">
        <v>944</v>
      </c>
      <c r="Q300" s="8"/>
      <c r="R300" s="2">
        <v>3</v>
      </c>
      <c r="S300" s="9">
        <v>1600</v>
      </c>
      <c r="T300" s="10">
        <f t="shared" si="41"/>
        <v>2400</v>
      </c>
      <c r="U300" s="9">
        <v>50</v>
      </c>
      <c r="V300" s="10">
        <f t="shared" si="42"/>
        <v>2350</v>
      </c>
      <c r="W300" s="4" t="s">
        <v>249</v>
      </c>
      <c r="X300" s="2"/>
      <c r="Y300" s="11">
        <v>4</v>
      </c>
      <c r="Z300" s="12">
        <f t="shared" si="43"/>
        <v>4</v>
      </c>
      <c r="AA300" s="4" t="s">
        <v>27</v>
      </c>
      <c r="AC300" s="176">
        <f t="shared" si="44"/>
        <v>4.5454545454545456E-2</v>
      </c>
    </row>
    <row r="301" spans="1:29" customFormat="1">
      <c r="A301" s="181"/>
      <c r="B301" s="183">
        <f t="shared" si="45"/>
        <v>9</v>
      </c>
      <c r="C301" s="107" t="str">
        <f t="shared" si="46"/>
        <v>ATK</v>
      </c>
      <c r="D301" s="2" t="s">
        <v>945</v>
      </c>
      <c r="E301" s="3">
        <v>43885</v>
      </c>
      <c r="F301" s="3">
        <v>43885</v>
      </c>
      <c r="G301" s="108">
        <f t="shared" si="47"/>
        <v>2</v>
      </c>
      <c r="H301" s="108" t="str">
        <f t="shared" si="48"/>
        <v>완료</v>
      </c>
      <c r="I301" s="112" t="s">
        <v>218</v>
      </c>
      <c r="J301" s="4" t="s">
        <v>121</v>
      </c>
      <c r="K301" s="5" t="s">
        <v>136</v>
      </c>
      <c r="L301" s="6" t="str">
        <f t="shared" si="40"/>
        <v>5T1</v>
      </c>
      <c r="M301" s="13" t="s">
        <v>946</v>
      </c>
      <c r="N301" s="7" t="s">
        <v>3625</v>
      </c>
      <c r="O301" s="13" t="s">
        <v>947</v>
      </c>
      <c r="P301" s="115" t="s">
        <v>330</v>
      </c>
      <c r="Q301" s="8"/>
      <c r="R301" s="2">
        <v>1</v>
      </c>
      <c r="S301" s="9">
        <v>7000</v>
      </c>
      <c r="T301" s="10">
        <f t="shared" si="41"/>
        <v>3500</v>
      </c>
      <c r="U301" s="9">
        <v>0</v>
      </c>
      <c r="V301" s="10">
        <f t="shared" si="42"/>
        <v>3500</v>
      </c>
      <c r="W301" s="4" t="s">
        <v>122</v>
      </c>
      <c r="X301" s="2"/>
      <c r="Y301" s="11">
        <v>1</v>
      </c>
      <c r="Z301" s="12">
        <f t="shared" si="43"/>
        <v>0</v>
      </c>
      <c r="AA301" s="4" t="s">
        <v>117</v>
      </c>
      <c r="AC301" s="176">
        <f t="shared" si="44"/>
        <v>0</v>
      </c>
    </row>
    <row r="302" spans="1:29" customFormat="1">
      <c r="A302" s="181"/>
      <c r="B302" s="183">
        <f t="shared" si="45"/>
        <v>9</v>
      </c>
      <c r="C302" s="107" t="str">
        <f t="shared" si="46"/>
        <v>ATK</v>
      </c>
      <c r="D302" s="2" t="s">
        <v>952</v>
      </c>
      <c r="E302" s="3">
        <v>43885</v>
      </c>
      <c r="F302" s="3">
        <v>43886</v>
      </c>
      <c r="G302" s="108">
        <f t="shared" si="47"/>
        <v>2</v>
      </c>
      <c r="H302" s="108" t="str">
        <f t="shared" si="48"/>
        <v>완료</v>
      </c>
      <c r="I302" s="112" t="s">
        <v>218</v>
      </c>
      <c r="J302" s="4" t="s">
        <v>499</v>
      </c>
      <c r="K302" s="5" t="s">
        <v>499</v>
      </c>
      <c r="L302" s="6" t="str">
        <f t="shared" si="40"/>
        <v>QA</v>
      </c>
      <c r="M302" s="13" t="s">
        <v>948</v>
      </c>
      <c r="N302" s="7" t="s">
        <v>3626</v>
      </c>
      <c r="O302" s="13" t="s">
        <v>949</v>
      </c>
      <c r="P302" s="115" t="s">
        <v>960</v>
      </c>
      <c r="Q302" s="8"/>
      <c r="R302" s="2">
        <v>1</v>
      </c>
      <c r="S302" s="9">
        <v>2000</v>
      </c>
      <c r="T302" s="10">
        <f t="shared" si="41"/>
        <v>1000</v>
      </c>
      <c r="U302" s="9">
        <v>5</v>
      </c>
      <c r="V302" s="10">
        <f t="shared" si="42"/>
        <v>995</v>
      </c>
      <c r="W302" s="4" t="s">
        <v>122</v>
      </c>
      <c r="X302" s="2"/>
      <c r="Y302" s="11">
        <v>13</v>
      </c>
      <c r="Z302" s="12">
        <f t="shared" si="43"/>
        <v>1</v>
      </c>
      <c r="AA302" s="4" t="s">
        <v>212</v>
      </c>
      <c r="AC302" s="176">
        <f t="shared" si="44"/>
        <v>4.5454545454545452E-3</v>
      </c>
    </row>
    <row r="303" spans="1:29" customFormat="1">
      <c r="A303" s="181"/>
      <c r="B303" s="183">
        <f t="shared" si="45"/>
        <v>9</v>
      </c>
      <c r="C303" s="107" t="str">
        <f t="shared" si="46"/>
        <v>ATK</v>
      </c>
      <c r="D303" s="2" t="s">
        <v>255</v>
      </c>
      <c r="E303" s="3">
        <v>43885</v>
      </c>
      <c r="F303" s="3">
        <v>43886</v>
      </c>
      <c r="G303" s="108">
        <f t="shared" si="47"/>
        <v>2</v>
      </c>
      <c r="H303" s="108" t="str">
        <f t="shared" si="48"/>
        <v>완료</v>
      </c>
      <c r="I303" s="112" t="s">
        <v>218</v>
      </c>
      <c r="J303" s="4" t="s">
        <v>127</v>
      </c>
      <c r="K303" s="5" t="s">
        <v>135</v>
      </c>
      <c r="L303" s="6" t="str">
        <f t="shared" si="40"/>
        <v>1T3</v>
      </c>
      <c r="M303" s="13" t="s">
        <v>256</v>
      </c>
      <c r="N303" s="7" t="s">
        <v>3529</v>
      </c>
      <c r="O303" s="13" t="s">
        <v>604</v>
      </c>
      <c r="P303" s="115"/>
      <c r="Q303" s="8"/>
      <c r="R303" s="2">
        <v>1</v>
      </c>
      <c r="S303" s="9">
        <v>3500</v>
      </c>
      <c r="T303" s="10">
        <f t="shared" si="41"/>
        <v>1750</v>
      </c>
      <c r="U303" s="9">
        <v>0</v>
      </c>
      <c r="V303" s="10">
        <f t="shared" si="42"/>
        <v>1750</v>
      </c>
      <c r="W303" s="4" t="s">
        <v>249</v>
      </c>
      <c r="X303" s="2"/>
      <c r="Y303" s="11">
        <v>2</v>
      </c>
      <c r="Z303" s="12">
        <f t="shared" si="43"/>
        <v>1</v>
      </c>
      <c r="AA303" s="4" t="s">
        <v>27</v>
      </c>
      <c r="AC303" s="176">
        <f t="shared" si="44"/>
        <v>0</v>
      </c>
    </row>
    <row r="304" spans="1:29" customFormat="1">
      <c r="A304" s="181"/>
      <c r="B304" s="183">
        <f t="shared" si="45"/>
        <v>9</v>
      </c>
      <c r="C304" s="107" t="str">
        <f t="shared" si="46"/>
        <v>ATK</v>
      </c>
      <c r="D304" s="2" t="s">
        <v>312</v>
      </c>
      <c r="E304" s="3">
        <v>43881</v>
      </c>
      <c r="F304" s="3">
        <v>43885</v>
      </c>
      <c r="G304" s="108">
        <f t="shared" si="47"/>
        <v>2</v>
      </c>
      <c r="H304" s="108" t="str">
        <f t="shared" si="48"/>
        <v>완료</v>
      </c>
      <c r="I304" s="112" t="s">
        <v>218</v>
      </c>
      <c r="J304" s="4" t="s">
        <v>481</v>
      </c>
      <c r="K304" s="5" t="s">
        <v>695</v>
      </c>
      <c r="L304" s="6" t="str">
        <f t="shared" si="40"/>
        <v>2T2</v>
      </c>
      <c r="M304" s="13" t="s">
        <v>256</v>
      </c>
      <c r="N304" s="7" t="s">
        <v>3529</v>
      </c>
      <c r="O304" s="13" t="s">
        <v>482</v>
      </c>
      <c r="P304" s="115" t="s">
        <v>953</v>
      </c>
      <c r="Q304" s="8"/>
      <c r="R304" s="2">
        <v>3</v>
      </c>
      <c r="S304" s="9">
        <v>1600</v>
      </c>
      <c r="T304" s="10">
        <f t="shared" si="41"/>
        <v>2400</v>
      </c>
      <c r="U304" s="9">
        <v>50</v>
      </c>
      <c r="V304" s="10">
        <f t="shared" si="42"/>
        <v>2350</v>
      </c>
      <c r="W304" s="4" t="s">
        <v>249</v>
      </c>
      <c r="X304" s="2"/>
      <c r="Y304" s="11">
        <v>4</v>
      </c>
      <c r="Z304" s="12">
        <f t="shared" si="43"/>
        <v>4</v>
      </c>
      <c r="AA304" s="4" t="s">
        <v>27</v>
      </c>
      <c r="AC304" s="176">
        <f t="shared" si="44"/>
        <v>4.5454545454545456E-2</v>
      </c>
    </row>
    <row r="305" spans="1:29" customFormat="1">
      <c r="A305" s="181"/>
      <c r="B305" s="183">
        <f t="shared" si="45"/>
        <v>9</v>
      </c>
      <c r="C305" s="107" t="str">
        <f t="shared" si="46"/>
        <v>ATK</v>
      </c>
      <c r="D305" s="2" t="s">
        <v>954</v>
      </c>
      <c r="E305" s="3">
        <v>43886</v>
      </c>
      <c r="F305" s="3">
        <v>43886</v>
      </c>
      <c r="G305" s="108">
        <f t="shared" si="47"/>
        <v>2</v>
      </c>
      <c r="H305" s="108" t="str">
        <f t="shared" si="48"/>
        <v>완료</v>
      </c>
      <c r="I305" s="112" t="s">
        <v>218</v>
      </c>
      <c r="J305" s="4" t="s">
        <v>115</v>
      </c>
      <c r="K305" s="5" t="s">
        <v>116</v>
      </c>
      <c r="L305" s="6" t="str">
        <f t="shared" si="40"/>
        <v>EE2</v>
      </c>
      <c r="M305" s="13" t="s">
        <v>955</v>
      </c>
      <c r="N305" s="7" t="s">
        <v>3627</v>
      </c>
      <c r="O305" s="13"/>
      <c r="P305" s="115" t="s">
        <v>956</v>
      </c>
      <c r="Q305" s="8"/>
      <c r="R305" s="2">
        <v>1</v>
      </c>
      <c r="S305" s="9">
        <v>120</v>
      </c>
      <c r="T305" s="10">
        <f t="shared" si="41"/>
        <v>60</v>
      </c>
      <c r="U305" s="9">
        <v>0</v>
      </c>
      <c r="V305" s="10">
        <f t="shared" si="42"/>
        <v>60</v>
      </c>
      <c r="W305" s="4" t="s">
        <v>122</v>
      </c>
      <c r="X305" s="2"/>
      <c r="Y305" s="11">
        <v>3</v>
      </c>
      <c r="Z305" s="12">
        <f t="shared" si="43"/>
        <v>0</v>
      </c>
      <c r="AA305" s="4" t="s">
        <v>120</v>
      </c>
      <c r="AC305" s="176">
        <f t="shared" si="44"/>
        <v>0</v>
      </c>
    </row>
    <row r="306" spans="1:29" customFormat="1">
      <c r="A306" s="181"/>
      <c r="B306" s="183">
        <f t="shared" si="45"/>
        <v>11</v>
      </c>
      <c r="C306" s="107" t="str">
        <f t="shared" si="46"/>
        <v>ATK</v>
      </c>
      <c r="D306" s="2" t="s">
        <v>959</v>
      </c>
      <c r="E306" s="3">
        <v>43886</v>
      </c>
      <c r="F306" s="3">
        <v>43900</v>
      </c>
      <c r="G306" s="108">
        <f t="shared" si="47"/>
        <v>3</v>
      </c>
      <c r="H306" s="108" t="str">
        <f t="shared" si="48"/>
        <v>완료</v>
      </c>
      <c r="I306" s="112" t="s">
        <v>218</v>
      </c>
      <c r="J306" s="4" t="s">
        <v>118</v>
      </c>
      <c r="K306" s="5" t="s">
        <v>137</v>
      </c>
      <c r="L306" s="6" t="str">
        <f t="shared" si="40"/>
        <v>2T2</v>
      </c>
      <c r="M306" s="13" t="s">
        <v>256</v>
      </c>
      <c r="N306" s="13" t="s">
        <v>3624</v>
      </c>
      <c r="O306" s="7" t="s">
        <v>4793</v>
      </c>
      <c r="P306" s="115" t="s">
        <v>4794</v>
      </c>
      <c r="Q306" s="8"/>
      <c r="R306" s="2">
        <v>1</v>
      </c>
      <c r="S306" s="9">
        <v>600</v>
      </c>
      <c r="T306" s="10">
        <f t="shared" si="41"/>
        <v>300</v>
      </c>
      <c r="U306" s="9">
        <v>1</v>
      </c>
      <c r="V306" s="10">
        <f t="shared" si="42"/>
        <v>299</v>
      </c>
      <c r="W306" s="4" t="s">
        <v>957</v>
      </c>
      <c r="X306" s="2"/>
      <c r="Y306" s="11">
        <v>1</v>
      </c>
      <c r="Z306" s="12">
        <f t="shared" si="43"/>
        <v>14</v>
      </c>
      <c r="AA306" s="4" t="s">
        <v>117</v>
      </c>
      <c r="AC306" s="176">
        <f t="shared" si="44"/>
        <v>9.0909090909090909E-4</v>
      </c>
    </row>
    <row r="307" spans="1:29" customFormat="1">
      <c r="A307" s="181"/>
      <c r="B307" s="183">
        <f t="shared" si="45"/>
        <v>9</v>
      </c>
      <c r="C307" s="107" t="str">
        <f t="shared" si="46"/>
        <v>ATP</v>
      </c>
      <c r="D307" s="2" t="s">
        <v>961</v>
      </c>
      <c r="E307" s="3">
        <v>43886</v>
      </c>
      <c r="F307" s="3">
        <v>43887</v>
      </c>
      <c r="G307" s="108">
        <f t="shared" si="47"/>
        <v>2</v>
      </c>
      <c r="H307" s="108" t="str">
        <f t="shared" si="48"/>
        <v>완료</v>
      </c>
      <c r="I307" s="112" t="s">
        <v>218</v>
      </c>
      <c r="J307" s="4" t="s">
        <v>961</v>
      </c>
      <c r="K307" s="5" t="s">
        <v>961</v>
      </c>
      <c r="L307" s="6" t="str">
        <f t="shared" si="40"/>
        <v>ATP</v>
      </c>
      <c r="M307" s="13" t="s">
        <v>399</v>
      </c>
      <c r="N307" s="7" t="s">
        <v>3628</v>
      </c>
      <c r="O307" s="13" t="s">
        <v>963</v>
      </c>
      <c r="P307" s="115" t="s">
        <v>964</v>
      </c>
      <c r="Q307" s="8"/>
      <c r="R307" s="2">
        <v>1</v>
      </c>
      <c r="S307" s="9">
        <v>2320</v>
      </c>
      <c r="T307" s="10">
        <f t="shared" si="41"/>
        <v>1160</v>
      </c>
      <c r="U307" s="9">
        <v>5</v>
      </c>
      <c r="V307" s="10">
        <f t="shared" si="42"/>
        <v>1155</v>
      </c>
      <c r="W307" s="4" t="s">
        <v>122</v>
      </c>
      <c r="X307" s="2"/>
      <c r="Y307" s="11">
        <v>2</v>
      </c>
      <c r="Z307" s="12">
        <f t="shared" si="43"/>
        <v>1</v>
      </c>
      <c r="AA307" s="4" t="s">
        <v>117</v>
      </c>
      <c r="AC307" s="176">
        <f t="shared" si="44"/>
        <v>4.5454545454545452E-3</v>
      </c>
    </row>
    <row r="308" spans="1:29" customFormat="1">
      <c r="A308" s="181"/>
      <c r="B308" s="183">
        <f t="shared" si="45"/>
        <v>9</v>
      </c>
      <c r="C308" s="107" t="str">
        <f t="shared" si="46"/>
        <v>ATP</v>
      </c>
      <c r="D308" s="2" t="s">
        <v>961</v>
      </c>
      <c r="E308" s="3">
        <v>43886</v>
      </c>
      <c r="F308" s="3">
        <v>43887</v>
      </c>
      <c r="G308" s="108">
        <f t="shared" si="47"/>
        <v>2</v>
      </c>
      <c r="H308" s="108" t="str">
        <f t="shared" si="48"/>
        <v>완료</v>
      </c>
      <c r="I308" s="112" t="s">
        <v>218</v>
      </c>
      <c r="J308" s="4" t="s">
        <v>961</v>
      </c>
      <c r="K308" s="5" t="s">
        <v>961</v>
      </c>
      <c r="L308" s="6" t="str">
        <f t="shared" si="40"/>
        <v>ATP</v>
      </c>
      <c r="M308" s="13" t="s">
        <v>399</v>
      </c>
      <c r="N308" s="7" t="s">
        <v>3628</v>
      </c>
      <c r="O308" s="13" t="s">
        <v>963</v>
      </c>
      <c r="P308" s="115" t="s">
        <v>964</v>
      </c>
      <c r="Q308" s="8"/>
      <c r="R308" s="2">
        <v>1</v>
      </c>
      <c r="S308" s="9">
        <v>2320</v>
      </c>
      <c r="T308" s="10">
        <f t="shared" si="41"/>
        <v>1160</v>
      </c>
      <c r="U308" s="9">
        <v>5</v>
      </c>
      <c r="V308" s="10">
        <f t="shared" si="42"/>
        <v>1155</v>
      </c>
      <c r="W308" s="4" t="s">
        <v>122</v>
      </c>
      <c r="X308" s="2"/>
      <c r="Y308" s="11">
        <v>2</v>
      </c>
      <c r="Z308" s="12">
        <f t="shared" si="43"/>
        <v>1</v>
      </c>
      <c r="AA308" s="4" t="s">
        <v>117</v>
      </c>
      <c r="AC308" s="176">
        <f t="shared" si="44"/>
        <v>4.5454545454545452E-3</v>
      </c>
    </row>
    <row r="309" spans="1:29" customFormat="1">
      <c r="A309" s="181"/>
      <c r="B309" s="183">
        <f t="shared" si="45"/>
        <v>11</v>
      </c>
      <c r="C309" s="107" t="str">
        <f t="shared" si="46"/>
        <v>ATP</v>
      </c>
      <c r="D309" s="2" t="s">
        <v>961</v>
      </c>
      <c r="E309" s="3">
        <v>43886</v>
      </c>
      <c r="F309" s="3">
        <v>43900</v>
      </c>
      <c r="G309" s="108">
        <f t="shared" si="47"/>
        <v>3</v>
      </c>
      <c r="H309" s="108" t="str">
        <f t="shared" si="48"/>
        <v>완료</v>
      </c>
      <c r="I309" s="112" t="s">
        <v>514</v>
      </c>
      <c r="J309" s="4" t="s">
        <v>961</v>
      </c>
      <c r="K309" s="5" t="s">
        <v>961</v>
      </c>
      <c r="L309" s="6" t="str">
        <f t="shared" si="40"/>
        <v>ATP</v>
      </c>
      <c r="M309" s="13" t="s">
        <v>399</v>
      </c>
      <c r="N309" s="7" t="s">
        <v>3628</v>
      </c>
      <c r="O309" s="13" t="s">
        <v>963</v>
      </c>
      <c r="P309" s="115" t="s">
        <v>964</v>
      </c>
      <c r="Q309" s="8"/>
      <c r="R309" s="2">
        <v>1</v>
      </c>
      <c r="S309" s="9">
        <v>2320</v>
      </c>
      <c r="T309" s="10">
        <f t="shared" si="41"/>
        <v>1160</v>
      </c>
      <c r="U309" s="9">
        <v>800</v>
      </c>
      <c r="V309" s="10">
        <f t="shared" si="42"/>
        <v>360</v>
      </c>
      <c r="W309" s="4" t="s">
        <v>123</v>
      </c>
      <c r="X309" s="2" t="s">
        <v>124</v>
      </c>
      <c r="Y309" s="11">
        <v>2</v>
      </c>
      <c r="Z309" s="12">
        <f t="shared" si="43"/>
        <v>14</v>
      </c>
      <c r="AA309" s="4" t="s">
        <v>117</v>
      </c>
      <c r="AC309" s="176">
        <f t="shared" si="44"/>
        <v>0.72727272727272729</v>
      </c>
    </row>
    <row r="310" spans="1:29" customFormat="1">
      <c r="A310" s="181"/>
      <c r="B310" s="183">
        <f t="shared" si="45"/>
        <v>11</v>
      </c>
      <c r="C310" s="107" t="str">
        <f t="shared" si="46"/>
        <v>ATP</v>
      </c>
      <c r="D310" s="2" t="s">
        <v>961</v>
      </c>
      <c r="E310" s="3">
        <v>43886</v>
      </c>
      <c r="F310" s="3">
        <v>43900</v>
      </c>
      <c r="G310" s="108">
        <f t="shared" si="47"/>
        <v>3</v>
      </c>
      <c r="H310" s="108" t="str">
        <f t="shared" si="48"/>
        <v>완료</v>
      </c>
      <c r="I310" s="112" t="s">
        <v>514</v>
      </c>
      <c r="J310" s="4" t="s">
        <v>961</v>
      </c>
      <c r="K310" s="5" t="s">
        <v>961</v>
      </c>
      <c r="L310" s="6" t="str">
        <f t="shared" si="40"/>
        <v>ATP</v>
      </c>
      <c r="M310" s="13" t="s">
        <v>399</v>
      </c>
      <c r="N310" s="7" t="s">
        <v>3628</v>
      </c>
      <c r="O310" s="13" t="s">
        <v>963</v>
      </c>
      <c r="P310" s="115" t="s">
        <v>964</v>
      </c>
      <c r="Q310" s="8"/>
      <c r="R310" s="2">
        <v>1</v>
      </c>
      <c r="S310" s="9">
        <v>2320</v>
      </c>
      <c r="T310" s="10">
        <f t="shared" si="41"/>
        <v>1160</v>
      </c>
      <c r="U310" s="9">
        <v>800</v>
      </c>
      <c r="V310" s="10">
        <f t="shared" si="42"/>
        <v>360</v>
      </c>
      <c r="W310" s="4" t="s">
        <v>123</v>
      </c>
      <c r="X310" s="2" t="s">
        <v>124</v>
      </c>
      <c r="Y310" s="11">
        <v>2</v>
      </c>
      <c r="Z310" s="12">
        <f t="shared" si="43"/>
        <v>14</v>
      </c>
      <c r="AA310" s="4" t="s">
        <v>117</v>
      </c>
      <c r="AC310" s="176">
        <f t="shared" si="44"/>
        <v>0.72727272727272729</v>
      </c>
    </row>
    <row r="311" spans="1:29" customFormat="1">
      <c r="A311" s="181"/>
      <c r="B311" s="183">
        <f t="shared" si="45"/>
        <v>11</v>
      </c>
      <c r="C311" s="107" t="str">
        <f t="shared" si="46"/>
        <v>ATP</v>
      </c>
      <c r="D311" s="2" t="s">
        <v>961</v>
      </c>
      <c r="E311" s="3">
        <v>43886</v>
      </c>
      <c r="F311" s="3">
        <v>43900</v>
      </c>
      <c r="G311" s="108">
        <f t="shared" si="47"/>
        <v>3</v>
      </c>
      <c r="H311" s="108" t="str">
        <f t="shared" si="48"/>
        <v>완료</v>
      </c>
      <c r="I311" s="112" t="s">
        <v>218</v>
      </c>
      <c r="J311" s="4" t="s">
        <v>961</v>
      </c>
      <c r="K311" s="5" t="s">
        <v>961</v>
      </c>
      <c r="L311" s="6" t="str">
        <f t="shared" si="40"/>
        <v>ATP</v>
      </c>
      <c r="M311" s="13" t="s">
        <v>399</v>
      </c>
      <c r="N311" s="7" t="s">
        <v>3628</v>
      </c>
      <c r="O311" s="13" t="s">
        <v>963</v>
      </c>
      <c r="P311" s="115" t="s">
        <v>964</v>
      </c>
      <c r="Q311" s="8"/>
      <c r="R311" s="2">
        <v>1</v>
      </c>
      <c r="S311" s="9">
        <v>2320</v>
      </c>
      <c r="T311" s="10">
        <f t="shared" si="41"/>
        <v>1160</v>
      </c>
      <c r="U311" s="9">
        <v>2</v>
      </c>
      <c r="V311" s="10">
        <f t="shared" si="42"/>
        <v>1158</v>
      </c>
      <c r="W311" s="4" t="s">
        <v>122</v>
      </c>
      <c r="X311" s="2"/>
      <c r="Y311" s="11">
        <v>2</v>
      </c>
      <c r="Z311" s="12">
        <f t="shared" si="43"/>
        <v>14</v>
      </c>
      <c r="AA311" s="4" t="s">
        <v>117</v>
      </c>
      <c r="AC311" s="176">
        <f t="shared" si="44"/>
        <v>1.8181818181818182E-3</v>
      </c>
    </row>
    <row r="312" spans="1:29" customFormat="1">
      <c r="A312" s="181"/>
      <c r="B312" s="183">
        <f t="shared" si="45"/>
        <v>11</v>
      </c>
      <c r="C312" s="107" t="str">
        <f t="shared" si="46"/>
        <v>ATP</v>
      </c>
      <c r="D312" s="2" t="s">
        <v>961</v>
      </c>
      <c r="E312" s="3">
        <v>43886</v>
      </c>
      <c r="F312" s="3">
        <v>43900</v>
      </c>
      <c r="G312" s="108">
        <f t="shared" si="47"/>
        <v>3</v>
      </c>
      <c r="H312" s="108" t="str">
        <f t="shared" si="48"/>
        <v>완료</v>
      </c>
      <c r="I312" s="112" t="s">
        <v>218</v>
      </c>
      <c r="J312" s="4" t="s">
        <v>961</v>
      </c>
      <c r="K312" s="5" t="s">
        <v>961</v>
      </c>
      <c r="L312" s="6" t="str">
        <f t="shared" si="40"/>
        <v>ATP</v>
      </c>
      <c r="M312" s="13" t="s">
        <v>399</v>
      </c>
      <c r="N312" s="7" t="s">
        <v>3628</v>
      </c>
      <c r="O312" s="13" t="s">
        <v>963</v>
      </c>
      <c r="P312" s="115" t="s">
        <v>964</v>
      </c>
      <c r="Q312" s="8"/>
      <c r="R312" s="2">
        <v>1</v>
      </c>
      <c r="S312" s="9">
        <v>2320</v>
      </c>
      <c r="T312" s="10">
        <f t="shared" si="41"/>
        <v>1160</v>
      </c>
      <c r="U312" s="9">
        <v>2</v>
      </c>
      <c r="V312" s="10">
        <f t="shared" si="42"/>
        <v>1158</v>
      </c>
      <c r="W312" s="4" t="s">
        <v>122</v>
      </c>
      <c r="X312" s="2"/>
      <c r="Y312" s="11">
        <v>2</v>
      </c>
      <c r="Z312" s="12">
        <f t="shared" si="43"/>
        <v>14</v>
      </c>
      <c r="AA312" s="4" t="s">
        <v>117</v>
      </c>
      <c r="AC312" s="176">
        <f t="shared" si="44"/>
        <v>1.8181818181818182E-3</v>
      </c>
    </row>
    <row r="313" spans="1:29" customFormat="1">
      <c r="A313" s="181"/>
      <c r="B313" s="183">
        <f t="shared" si="45"/>
        <v>11</v>
      </c>
      <c r="C313" s="107" t="str">
        <f t="shared" si="46"/>
        <v>ATP</v>
      </c>
      <c r="D313" s="2" t="s">
        <v>961</v>
      </c>
      <c r="E313" s="3">
        <v>43886</v>
      </c>
      <c r="F313" s="3">
        <v>43900</v>
      </c>
      <c r="G313" s="108">
        <f t="shared" si="47"/>
        <v>3</v>
      </c>
      <c r="H313" s="108" t="str">
        <f t="shared" si="48"/>
        <v>완료</v>
      </c>
      <c r="I313" s="112" t="s">
        <v>218</v>
      </c>
      <c r="J313" s="4" t="s">
        <v>961</v>
      </c>
      <c r="K313" s="5" t="s">
        <v>961</v>
      </c>
      <c r="L313" s="6" t="str">
        <f t="shared" si="40"/>
        <v>ATP</v>
      </c>
      <c r="M313" s="13" t="s">
        <v>399</v>
      </c>
      <c r="N313" s="7" t="s">
        <v>3628</v>
      </c>
      <c r="O313" s="13" t="s">
        <v>963</v>
      </c>
      <c r="P313" s="115" t="s">
        <v>964</v>
      </c>
      <c r="Q313" s="8"/>
      <c r="R313" s="2">
        <v>1</v>
      </c>
      <c r="S313" s="9">
        <v>2320</v>
      </c>
      <c r="T313" s="10">
        <f t="shared" si="41"/>
        <v>1160</v>
      </c>
      <c r="U313" s="9">
        <v>2</v>
      </c>
      <c r="V313" s="10">
        <f t="shared" si="42"/>
        <v>1158</v>
      </c>
      <c r="W313" s="4" t="s">
        <v>122</v>
      </c>
      <c r="X313" s="2"/>
      <c r="Y313" s="11">
        <v>2</v>
      </c>
      <c r="Z313" s="12">
        <f t="shared" si="43"/>
        <v>14</v>
      </c>
      <c r="AA313" s="4" t="s">
        <v>117</v>
      </c>
      <c r="AC313" s="176">
        <f t="shared" si="44"/>
        <v>1.8181818181818182E-3</v>
      </c>
    </row>
    <row r="314" spans="1:29" customFormat="1">
      <c r="A314" s="181"/>
      <c r="B314" s="183">
        <f t="shared" si="45"/>
        <v>11</v>
      </c>
      <c r="C314" s="107" t="str">
        <f t="shared" si="46"/>
        <v>ATP</v>
      </c>
      <c r="D314" s="2" t="s">
        <v>961</v>
      </c>
      <c r="E314" s="3">
        <v>43886</v>
      </c>
      <c r="F314" s="3">
        <v>43900</v>
      </c>
      <c r="G314" s="108">
        <f t="shared" si="47"/>
        <v>3</v>
      </c>
      <c r="H314" s="108" t="str">
        <f t="shared" si="48"/>
        <v>완료</v>
      </c>
      <c r="I314" s="112" t="s">
        <v>218</v>
      </c>
      <c r="J314" s="4" t="s">
        <v>961</v>
      </c>
      <c r="K314" s="5" t="s">
        <v>961</v>
      </c>
      <c r="L314" s="6" t="str">
        <f t="shared" si="40"/>
        <v>ATP</v>
      </c>
      <c r="M314" s="13" t="s">
        <v>399</v>
      </c>
      <c r="N314" s="7" t="s">
        <v>3629</v>
      </c>
      <c r="O314" s="13" t="s">
        <v>962</v>
      </c>
      <c r="P314" s="115" t="s">
        <v>965</v>
      </c>
      <c r="Q314" s="8" t="s">
        <v>966</v>
      </c>
      <c r="R314" s="2">
        <v>1</v>
      </c>
      <c r="S314" s="9">
        <v>1160</v>
      </c>
      <c r="T314" s="10">
        <f t="shared" si="41"/>
        <v>580</v>
      </c>
      <c r="U314" s="9">
        <v>2</v>
      </c>
      <c r="V314" s="10">
        <f t="shared" si="42"/>
        <v>578</v>
      </c>
      <c r="W314" s="4" t="s">
        <v>122</v>
      </c>
      <c r="X314" s="2"/>
      <c r="Y314" s="11">
        <v>2</v>
      </c>
      <c r="Z314" s="12">
        <f t="shared" si="43"/>
        <v>14</v>
      </c>
      <c r="AA314" s="4" t="s">
        <v>130</v>
      </c>
      <c r="AC314" s="176">
        <f t="shared" si="44"/>
        <v>1.8181818181818182E-3</v>
      </c>
    </row>
    <row r="315" spans="1:29" customFormat="1">
      <c r="A315" s="181"/>
      <c r="B315" s="183">
        <f t="shared" si="45"/>
        <v>9</v>
      </c>
      <c r="C315" s="107" t="str">
        <f t="shared" si="46"/>
        <v>ATK</v>
      </c>
      <c r="D315" s="2" t="s">
        <v>312</v>
      </c>
      <c r="E315" s="3">
        <v>43886</v>
      </c>
      <c r="F315" s="3">
        <v>43886</v>
      </c>
      <c r="G315" s="108">
        <f t="shared" si="47"/>
        <v>2</v>
      </c>
      <c r="H315" s="108" t="str">
        <f t="shared" si="48"/>
        <v>완료</v>
      </c>
      <c r="I315" s="112" t="s">
        <v>218</v>
      </c>
      <c r="J315" s="4" t="s">
        <v>118</v>
      </c>
      <c r="K315" s="5" t="s">
        <v>137</v>
      </c>
      <c r="L315" s="6" t="str">
        <f t="shared" si="40"/>
        <v>2T2</v>
      </c>
      <c r="M315" s="13" t="s">
        <v>256</v>
      </c>
      <c r="N315" s="7" t="s">
        <v>3624</v>
      </c>
      <c r="O315" s="13" t="s">
        <v>967</v>
      </c>
      <c r="P315" s="115" t="s">
        <v>330</v>
      </c>
      <c r="Q315" s="8"/>
      <c r="R315" s="2">
        <v>1</v>
      </c>
      <c r="S315" s="9">
        <v>1200</v>
      </c>
      <c r="T315" s="10">
        <f t="shared" si="41"/>
        <v>600</v>
      </c>
      <c r="U315" s="9">
        <v>2</v>
      </c>
      <c r="V315" s="10">
        <f t="shared" si="42"/>
        <v>598</v>
      </c>
      <c r="W315" s="4" t="s">
        <v>122</v>
      </c>
      <c r="X315" s="2"/>
      <c r="Y315" s="11">
        <v>3</v>
      </c>
      <c r="Z315" s="12">
        <f t="shared" si="43"/>
        <v>0</v>
      </c>
      <c r="AA315" s="4" t="s">
        <v>117</v>
      </c>
      <c r="AC315" s="176">
        <f t="shared" si="44"/>
        <v>1.8181818181818182E-3</v>
      </c>
    </row>
    <row r="316" spans="1:29" customFormat="1" ht="24">
      <c r="A316" s="181"/>
      <c r="B316" s="183">
        <f t="shared" si="45"/>
        <v>9</v>
      </c>
      <c r="C316" s="107" t="str">
        <f t="shared" si="46"/>
        <v>ATK</v>
      </c>
      <c r="D316" s="2" t="s">
        <v>217</v>
      </c>
      <c r="E316" s="3">
        <v>43886</v>
      </c>
      <c r="F316" s="3">
        <v>43887</v>
      </c>
      <c r="G316" s="108">
        <f t="shared" si="47"/>
        <v>2</v>
      </c>
      <c r="H316" s="108" t="str">
        <f t="shared" si="48"/>
        <v>완료</v>
      </c>
      <c r="I316" s="112" t="s">
        <v>218</v>
      </c>
      <c r="J316" s="4" t="s">
        <v>127</v>
      </c>
      <c r="K316" s="5" t="s">
        <v>131</v>
      </c>
      <c r="L316" s="6" t="str">
        <f t="shared" si="40"/>
        <v>1T4</v>
      </c>
      <c r="M316" s="13" t="s">
        <v>875</v>
      </c>
      <c r="N316" s="7" t="s">
        <v>3616</v>
      </c>
      <c r="O316" s="13" t="s">
        <v>968</v>
      </c>
      <c r="P316" s="115" t="s">
        <v>969</v>
      </c>
      <c r="Q316" s="8" t="s">
        <v>970</v>
      </c>
      <c r="R316" s="2">
        <v>1</v>
      </c>
      <c r="S316" s="9">
        <v>400</v>
      </c>
      <c r="T316" s="10">
        <f t="shared" si="41"/>
        <v>200</v>
      </c>
      <c r="U316" s="9">
        <v>5</v>
      </c>
      <c r="V316" s="10">
        <f t="shared" si="42"/>
        <v>195</v>
      </c>
      <c r="W316" s="4" t="s">
        <v>122</v>
      </c>
      <c r="X316" s="2"/>
      <c r="Y316" s="11">
        <v>9</v>
      </c>
      <c r="Z316" s="12">
        <f t="shared" si="43"/>
        <v>1</v>
      </c>
      <c r="AA316" s="4" t="s">
        <v>120</v>
      </c>
      <c r="AC316" s="176">
        <f t="shared" si="44"/>
        <v>4.5454545454545452E-3</v>
      </c>
    </row>
    <row r="317" spans="1:29" customFormat="1">
      <c r="A317" s="181"/>
      <c r="B317" s="183">
        <f t="shared" si="45"/>
        <v>10</v>
      </c>
      <c r="C317" s="107" t="str">
        <f t="shared" si="46"/>
        <v>ATK</v>
      </c>
      <c r="D317" s="2" t="s">
        <v>971</v>
      </c>
      <c r="E317" s="3">
        <v>43887</v>
      </c>
      <c r="F317" s="3">
        <v>43892</v>
      </c>
      <c r="G317" s="108">
        <f t="shared" si="47"/>
        <v>3</v>
      </c>
      <c r="H317" s="108" t="str">
        <f t="shared" si="48"/>
        <v>완료</v>
      </c>
      <c r="I317" s="112" t="s">
        <v>218</v>
      </c>
      <c r="J317" s="4" t="s">
        <v>979</v>
      </c>
      <c r="K317" s="5" t="s">
        <v>695</v>
      </c>
      <c r="L317" s="6" t="str">
        <f t="shared" si="40"/>
        <v>2T2</v>
      </c>
      <c r="M317" s="13" t="s">
        <v>270</v>
      </c>
      <c r="N317" s="7" t="s">
        <v>3630</v>
      </c>
      <c r="O317" s="13" t="s">
        <v>270</v>
      </c>
      <c r="P317" s="115" t="s">
        <v>271</v>
      </c>
      <c r="Q317" s="8"/>
      <c r="R317" s="2">
        <v>5</v>
      </c>
      <c r="S317" s="9">
        <v>800</v>
      </c>
      <c r="T317" s="10">
        <f t="shared" si="41"/>
        <v>2000</v>
      </c>
      <c r="U317" s="9">
        <v>0</v>
      </c>
      <c r="V317" s="10">
        <f t="shared" si="42"/>
        <v>2000</v>
      </c>
      <c r="W317" s="4" t="s">
        <v>249</v>
      </c>
      <c r="X317" s="2"/>
      <c r="Y317" s="11">
        <v>1</v>
      </c>
      <c r="Z317" s="12">
        <f t="shared" si="43"/>
        <v>5</v>
      </c>
      <c r="AA317" s="4" t="s">
        <v>980</v>
      </c>
      <c r="AC317" s="176">
        <f t="shared" si="44"/>
        <v>0</v>
      </c>
    </row>
    <row r="318" spans="1:29" customFormat="1">
      <c r="A318" s="181"/>
      <c r="B318" s="183">
        <f t="shared" si="45"/>
        <v>6</v>
      </c>
      <c r="C318" s="107" t="str">
        <f t="shared" si="46"/>
        <v>ATK</v>
      </c>
      <c r="D318" s="2" t="s">
        <v>972</v>
      </c>
      <c r="E318" s="3">
        <v>43887</v>
      </c>
      <c r="F318" s="3">
        <v>43867</v>
      </c>
      <c r="G318" s="108">
        <f t="shared" si="47"/>
        <v>2</v>
      </c>
      <c r="H318" s="108" t="str">
        <f t="shared" si="48"/>
        <v>완료</v>
      </c>
      <c r="I318" s="112" t="s">
        <v>973</v>
      </c>
      <c r="J318" s="4" t="s">
        <v>974</v>
      </c>
      <c r="K318" s="5" t="s">
        <v>975</v>
      </c>
      <c r="L318" s="6" t="str">
        <f t="shared" si="40"/>
        <v>3T3</v>
      </c>
      <c r="M318" s="13" t="s">
        <v>270</v>
      </c>
      <c r="N318" s="7" t="s">
        <v>3631</v>
      </c>
      <c r="O318" s="13" t="s">
        <v>270</v>
      </c>
      <c r="P318" s="115" t="s">
        <v>976</v>
      </c>
      <c r="Q318" s="8"/>
      <c r="R318" s="2">
        <v>1</v>
      </c>
      <c r="S318" s="9">
        <v>710</v>
      </c>
      <c r="T318" s="10">
        <f t="shared" si="41"/>
        <v>355</v>
      </c>
      <c r="U318" s="9">
        <v>200</v>
      </c>
      <c r="V318" s="10">
        <f t="shared" si="42"/>
        <v>155</v>
      </c>
      <c r="W318" s="4" t="s">
        <v>977</v>
      </c>
      <c r="X318" s="2"/>
      <c r="Y318" s="11">
        <v>6</v>
      </c>
      <c r="Z318" s="12">
        <f t="shared" si="43"/>
        <v>-20</v>
      </c>
      <c r="AA318" s="4" t="s">
        <v>978</v>
      </c>
      <c r="AC318" s="176">
        <f t="shared" si="44"/>
        <v>0.18181818181818182</v>
      </c>
    </row>
    <row r="319" spans="1:29" customFormat="1" ht="24">
      <c r="A319" s="181"/>
      <c r="B319" s="183">
        <f t="shared" si="45"/>
        <v>9</v>
      </c>
      <c r="C319" s="107" t="str">
        <f t="shared" si="46"/>
        <v>ATK</v>
      </c>
      <c r="D319" s="2" t="s">
        <v>704</v>
      </c>
      <c r="E319" s="3">
        <v>43887</v>
      </c>
      <c r="F319" s="3">
        <v>43887</v>
      </c>
      <c r="G319" s="108">
        <f t="shared" si="47"/>
        <v>2</v>
      </c>
      <c r="H319" s="108" t="str">
        <f t="shared" si="48"/>
        <v>완료</v>
      </c>
      <c r="I319" s="112" t="s">
        <v>218</v>
      </c>
      <c r="J319" s="4" t="s">
        <v>127</v>
      </c>
      <c r="K319" s="5" t="s">
        <v>131</v>
      </c>
      <c r="L319" s="6" t="str">
        <f t="shared" si="40"/>
        <v>1T4</v>
      </c>
      <c r="M319" s="13" t="s">
        <v>705</v>
      </c>
      <c r="N319" s="7" t="s">
        <v>3632</v>
      </c>
      <c r="O319" s="13" t="s">
        <v>981</v>
      </c>
      <c r="P319" s="115" t="s">
        <v>982</v>
      </c>
      <c r="Q319" s="8" t="s">
        <v>983</v>
      </c>
      <c r="R319" s="2">
        <v>1</v>
      </c>
      <c r="S319" s="9">
        <v>550</v>
      </c>
      <c r="T319" s="10">
        <f t="shared" si="41"/>
        <v>275</v>
      </c>
      <c r="U319" s="9">
        <v>2</v>
      </c>
      <c r="V319" s="10">
        <f t="shared" si="42"/>
        <v>273</v>
      </c>
      <c r="W319" s="4" t="s">
        <v>122</v>
      </c>
      <c r="X319" s="2"/>
      <c r="Y319" s="11">
        <v>5</v>
      </c>
      <c r="Z319" s="12">
        <f t="shared" si="43"/>
        <v>0</v>
      </c>
      <c r="AA319" s="4" t="s">
        <v>120</v>
      </c>
      <c r="AC319" s="176">
        <f t="shared" si="44"/>
        <v>1.8181818181818182E-3</v>
      </c>
    </row>
    <row r="320" spans="1:29" customFormat="1">
      <c r="A320" s="181"/>
      <c r="B320" s="183">
        <f t="shared" si="45"/>
        <v>9</v>
      </c>
      <c r="C320" s="107" t="str">
        <f t="shared" si="46"/>
        <v>ATK</v>
      </c>
      <c r="D320" s="2" t="s">
        <v>255</v>
      </c>
      <c r="E320" s="3">
        <v>43881</v>
      </c>
      <c r="F320" s="3">
        <v>43887</v>
      </c>
      <c r="G320" s="108">
        <f t="shared" si="47"/>
        <v>2</v>
      </c>
      <c r="H320" s="108" t="str">
        <f t="shared" si="48"/>
        <v>완료</v>
      </c>
      <c r="I320" s="112" t="s">
        <v>218</v>
      </c>
      <c r="J320" s="4" t="s">
        <v>127</v>
      </c>
      <c r="K320" s="5" t="s">
        <v>135</v>
      </c>
      <c r="L320" s="6" t="str">
        <f t="shared" si="40"/>
        <v>1T3</v>
      </c>
      <c r="M320" s="13" t="s">
        <v>256</v>
      </c>
      <c r="N320" s="7" t="s">
        <v>3529</v>
      </c>
      <c r="O320" s="13" t="s">
        <v>618</v>
      </c>
      <c r="P320" s="115" t="s">
        <v>984</v>
      </c>
      <c r="Q320" s="8"/>
      <c r="R320" s="2">
        <v>1</v>
      </c>
      <c r="S320" s="9">
        <v>2500</v>
      </c>
      <c r="T320" s="10">
        <f t="shared" si="41"/>
        <v>1250</v>
      </c>
      <c r="U320" s="9">
        <v>50</v>
      </c>
      <c r="V320" s="10">
        <f t="shared" si="42"/>
        <v>1200</v>
      </c>
      <c r="W320" s="4" t="s">
        <v>122</v>
      </c>
      <c r="X320" s="2"/>
      <c r="Y320" s="11">
        <v>4</v>
      </c>
      <c r="Z320" s="12">
        <f t="shared" si="43"/>
        <v>6</v>
      </c>
      <c r="AA320" s="4" t="s">
        <v>27</v>
      </c>
      <c r="AC320" s="176">
        <f t="shared" si="44"/>
        <v>4.5454545454545456E-2</v>
      </c>
    </row>
    <row r="321" spans="1:29" customFormat="1">
      <c r="A321" s="181"/>
      <c r="B321" s="183">
        <f t="shared" si="45"/>
        <v>9</v>
      </c>
      <c r="C321" s="107" t="str">
        <f t="shared" si="46"/>
        <v>ATK</v>
      </c>
      <c r="D321" s="2" t="s">
        <v>512</v>
      </c>
      <c r="E321" s="3">
        <v>43888</v>
      </c>
      <c r="F321" s="3">
        <v>43888</v>
      </c>
      <c r="G321" s="108">
        <f t="shared" si="47"/>
        <v>2</v>
      </c>
      <c r="H321" s="108" t="str">
        <f t="shared" si="48"/>
        <v>완료</v>
      </c>
      <c r="I321" s="112" t="s">
        <v>218</v>
      </c>
      <c r="J321" s="4" t="s">
        <v>118</v>
      </c>
      <c r="K321" s="5" t="s">
        <v>137</v>
      </c>
      <c r="L321" s="6" t="str">
        <f t="shared" si="40"/>
        <v>2T2</v>
      </c>
      <c r="M321" s="13" t="s">
        <v>256</v>
      </c>
      <c r="N321" s="7" t="s">
        <v>3624</v>
      </c>
      <c r="O321" s="13" t="s">
        <v>985</v>
      </c>
      <c r="P321" s="115"/>
      <c r="Q321" s="8"/>
      <c r="R321" s="2">
        <v>2</v>
      </c>
      <c r="S321" s="9">
        <v>500</v>
      </c>
      <c r="T321" s="10">
        <f t="shared" si="41"/>
        <v>500</v>
      </c>
      <c r="U321" s="9">
        <v>160</v>
      </c>
      <c r="V321" s="10">
        <f t="shared" si="42"/>
        <v>340</v>
      </c>
      <c r="W321" s="4" t="s">
        <v>122</v>
      </c>
      <c r="X321" s="2"/>
      <c r="Y321" s="11">
        <v>1</v>
      </c>
      <c r="Z321" s="12">
        <f t="shared" si="43"/>
        <v>0</v>
      </c>
      <c r="AA321" s="4" t="s">
        <v>117</v>
      </c>
      <c r="AC321" s="176">
        <f t="shared" si="44"/>
        <v>0.14545454545454545</v>
      </c>
    </row>
    <row r="322" spans="1:29" customFormat="1">
      <c r="A322" s="181"/>
      <c r="B322" s="183">
        <f t="shared" si="45"/>
        <v>9</v>
      </c>
      <c r="C322" s="107" t="str">
        <f t="shared" si="46"/>
        <v>ATK</v>
      </c>
      <c r="D322" s="2" t="s">
        <v>986</v>
      </c>
      <c r="E322" s="3">
        <v>43888</v>
      </c>
      <c r="F322" s="3">
        <v>43889</v>
      </c>
      <c r="G322" s="108">
        <f t="shared" si="47"/>
        <v>2</v>
      </c>
      <c r="H322" s="108" t="str">
        <f t="shared" si="48"/>
        <v>Other</v>
      </c>
      <c r="I322" s="112" t="s">
        <v>317</v>
      </c>
      <c r="J322" s="4" t="s">
        <v>748</v>
      </c>
      <c r="K322" s="5" t="s">
        <v>177</v>
      </c>
      <c r="L322" s="6" t="str">
        <f t="shared" ref="L322:L385" si="49">LEFT(K322,3)</f>
        <v>Bum</v>
      </c>
      <c r="M322" s="13" t="s">
        <v>987</v>
      </c>
      <c r="N322" s="7" t="s">
        <v>3633</v>
      </c>
      <c r="O322" s="13" t="s">
        <v>988</v>
      </c>
      <c r="P322" s="115" t="s">
        <v>989</v>
      </c>
      <c r="Q322" s="8"/>
      <c r="R322" s="2">
        <v>1</v>
      </c>
      <c r="S322" s="9">
        <v>4000</v>
      </c>
      <c r="T322" s="10">
        <f t="shared" ref="T322:T385" si="50">(S322*50)/100*R322</f>
        <v>2000</v>
      </c>
      <c r="U322" s="9">
        <v>0</v>
      </c>
      <c r="V322" s="10">
        <f t="shared" ref="V322:V385" si="51">T322-U322</f>
        <v>2000</v>
      </c>
      <c r="W322" s="4" t="s">
        <v>122</v>
      </c>
      <c r="X322" s="2"/>
      <c r="Y322" s="11">
        <v>4</v>
      </c>
      <c r="Z322" s="12">
        <f t="shared" ref="Z322:Z385" si="52">F322-E322</f>
        <v>1</v>
      </c>
      <c r="AA322" s="4" t="s">
        <v>120</v>
      </c>
      <c r="AC322" s="176">
        <f t="shared" ref="AC322:AC384" si="53">U322/1100</f>
        <v>0</v>
      </c>
    </row>
    <row r="323" spans="1:29" customFormat="1">
      <c r="A323" s="181"/>
      <c r="B323" s="183">
        <f t="shared" ref="B323:B386" si="54">IF(F323&gt;0,IFERROR(WEEKNUM(F323),""),"")</f>
        <v>9</v>
      </c>
      <c r="C323" s="107" t="str">
        <f t="shared" ref="C323:C386" si="55">IF(D323=0,"",(IF(LEFT(D323,3)="ATK","ATK",IF(LEFT(D323,2)="AT",D323,"ATK"))))</f>
        <v>ATK</v>
      </c>
      <c r="D323" s="2" t="s">
        <v>504</v>
      </c>
      <c r="E323" s="3">
        <v>43872</v>
      </c>
      <c r="F323" s="3">
        <v>43888</v>
      </c>
      <c r="G323" s="108">
        <f t="shared" ref="G323:G386" si="56">IF(F323&gt;0,MONTH(F323),"")</f>
        <v>2</v>
      </c>
      <c r="H323" s="108" t="str">
        <f t="shared" ref="H323:H386" si="57">IF(I323=0,"",IF(RIGHT(I323,2)="완료","완료",IF(RIGHT(I323,2)="불가","수리불가",IF(RIGHT(I323,1)="중","수리중","Other"))))</f>
        <v>완료</v>
      </c>
      <c r="I323" s="112" t="s">
        <v>218</v>
      </c>
      <c r="J323" s="4" t="s">
        <v>281</v>
      </c>
      <c r="K323" s="5" t="s">
        <v>332</v>
      </c>
      <c r="L323" s="6" t="str">
        <f t="shared" si="49"/>
        <v>EE2</v>
      </c>
      <c r="M323" s="13" t="s">
        <v>256</v>
      </c>
      <c r="N323" s="7" t="s">
        <v>3529</v>
      </c>
      <c r="O323" s="13" t="s">
        <v>618</v>
      </c>
      <c r="P323" s="115" t="s">
        <v>990</v>
      </c>
      <c r="Q323" s="8"/>
      <c r="R323" s="2">
        <v>1</v>
      </c>
      <c r="S323" s="9">
        <v>2500</v>
      </c>
      <c r="T323" s="10">
        <f t="shared" si="50"/>
        <v>1250</v>
      </c>
      <c r="U323" s="9">
        <v>100</v>
      </c>
      <c r="V323" s="10">
        <f t="shared" si="51"/>
        <v>1150</v>
      </c>
      <c r="W323" s="4" t="s">
        <v>122</v>
      </c>
      <c r="X323" s="2"/>
      <c r="Y323" s="11">
        <v>8</v>
      </c>
      <c r="Z323" s="12">
        <f t="shared" si="52"/>
        <v>16</v>
      </c>
      <c r="AA323" s="4" t="s">
        <v>27</v>
      </c>
      <c r="AC323" s="176">
        <f t="shared" si="53"/>
        <v>9.0909090909090912E-2</v>
      </c>
    </row>
    <row r="324" spans="1:29" customFormat="1">
      <c r="A324" s="181"/>
      <c r="B324" s="183">
        <f t="shared" si="54"/>
        <v>9</v>
      </c>
      <c r="C324" s="107" t="str">
        <f t="shared" si="55"/>
        <v>ATK</v>
      </c>
      <c r="D324" s="2" t="s">
        <v>504</v>
      </c>
      <c r="E324" s="3">
        <v>43888</v>
      </c>
      <c r="F324" s="3">
        <v>43888</v>
      </c>
      <c r="G324" s="108">
        <f t="shared" si="56"/>
        <v>2</v>
      </c>
      <c r="H324" s="108" t="str">
        <f t="shared" si="57"/>
        <v>완료</v>
      </c>
      <c r="I324" s="112" t="s">
        <v>218</v>
      </c>
      <c r="J324" s="4" t="s">
        <v>115</v>
      </c>
      <c r="K324" s="5" t="s">
        <v>116</v>
      </c>
      <c r="L324" s="6" t="str">
        <f t="shared" si="49"/>
        <v>EE2</v>
      </c>
      <c r="M324" s="13" t="s">
        <v>256</v>
      </c>
      <c r="N324" s="7" t="s">
        <v>3624</v>
      </c>
      <c r="O324" s="13" t="s">
        <v>257</v>
      </c>
      <c r="P324" s="115"/>
      <c r="Q324" s="8"/>
      <c r="R324" s="2">
        <v>1</v>
      </c>
      <c r="S324" s="9">
        <v>3500</v>
      </c>
      <c r="T324" s="10">
        <f t="shared" si="50"/>
        <v>1750</v>
      </c>
      <c r="U324" s="9">
        <v>50</v>
      </c>
      <c r="V324" s="10">
        <f t="shared" si="51"/>
        <v>1700</v>
      </c>
      <c r="W324" s="4" t="s">
        <v>122</v>
      </c>
      <c r="X324" s="2"/>
      <c r="Y324" s="11">
        <v>6</v>
      </c>
      <c r="Z324" s="12">
        <f t="shared" si="52"/>
        <v>0</v>
      </c>
      <c r="AA324" s="4" t="s">
        <v>117</v>
      </c>
      <c r="AC324" s="176">
        <f t="shared" si="53"/>
        <v>4.5454545454545456E-2</v>
      </c>
    </row>
    <row r="325" spans="1:29" customFormat="1">
      <c r="A325" s="181"/>
      <c r="B325" s="183">
        <f t="shared" si="54"/>
        <v>10</v>
      </c>
      <c r="C325" s="107" t="str">
        <f t="shared" si="55"/>
        <v>ATK</v>
      </c>
      <c r="D325" s="2" t="s">
        <v>512</v>
      </c>
      <c r="E325" s="3">
        <v>43889</v>
      </c>
      <c r="F325" s="3">
        <v>43892</v>
      </c>
      <c r="G325" s="108">
        <f t="shared" si="56"/>
        <v>3</v>
      </c>
      <c r="H325" s="108" t="str">
        <f t="shared" si="57"/>
        <v>완료</v>
      </c>
      <c r="I325" s="112" t="s">
        <v>218</v>
      </c>
      <c r="J325" s="4" t="s">
        <v>118</v>
      </c>
      <c r="K325" s="5" t="s">
        <v>137</v>
      </c>
      <c r="L325" s="6" t="str">
        <f t="shared" si="49"/>
        <v>2T2</v>
      </c>
      <c r="M325" s="13" t="s">
        <v>256</v>
      </c>
      <c r="N325" s="7" t="s">
        <v>3624</v>
      </c>
      <c r="O325" s="13" t="s">
        <v>993</v>
      </c>
      <c r="P325" s="115" t="s">
        <v>991</v>
      </c>
      <c r="Q325" s="8"/>
      <c r="R325" s="2">
        <v>1</v>
      </c>
      <c r="S325" s="9">
        <v>600</v>
      </c>
      <c r="T325" s="10">
        <f t="shared" si="50"/>
        <v>300</v>
      </c>
      <c r="U325" s="9">
        <v>3</v>
      </c>
      <c r="V325" s="10">
        <f t="shared" si="51"/>
        <v>297</v>
      </c>
      <c r="W325" s="4" t="s">
        <v>122</v>
      </c>
      <c r="X325" s="2"/>
      <c r="Y325" s="11">
        <v>3</v>
      </c>
      <c r="Z325" s="12">
        <f t="shared" si="52"/>
        <v>3</v>
      </c>
      <c r="AA325" s="4" t="s">
        <v>117</v>
      </c>
      <c r="AC325" s="176">
        <f t="shared" si="53"/>
        <v>2.7272727272727275E-3</v>
      </c>
    </row>
    <row r="326" spans="1:29" customFormat="1">
      <c r="A326" s="181"/>
      <c r="B326" s="183">
        <f t="shared" si="54"/>
        <v>9</v>
      </c>
      <c r="C326" s="107" t="str">
        <f t="shared" si="55"/>
        <v>ATK</v>
      </c>
      <c r="D326" s="2" t="s">
        <v>512</v>
      </c>
      <c r="E326" s="3">
        <v>43889</v>
      </c>
      <c r="F326" s="3">
        <v>43889</v>
      </c>
      <c r="G326" s="108">
        <f t="shared" si="56"/>
        <v>2</v>
      </c>
      <c r="H326" s="108" t="str">
        <f t="shared" si="57"/>
        <v>완료</v>
      </c>
      <c r="I326" s="112" t="s">
        <v>218</v>
      </c>
      <c r="J326" s="4" t="s">
        <v>118</v>
      </c>
      <c r="K326" s="5" t="s">
        <v>137</v>
      </c>
      <c r="L326" s="6" t="str">
        <f t="shared" si="49"/>
        <v>2T2</v>
      </c>
      <c r="M326" s="13" t="s">
        <v>256</v>
      </c>
      <c r="N326" s="7" t="s">
        <v>3624</v>
      </c>
      <c r="O326" s="13" t="s">
        <v>992</v>
      </c>
      <c r="P326" s="115"/>
      <c r="Q326" s="8"/>
      <c r="R326" s="2">
        <v>1</v>
      </c>
      <c r="S326" s="9">
        <v>600</v>
      </c>
      <c r="T326" s="10">
        <f t="shared" si="50"/>
        <v>300</v>
      </c>
      <c r="U326" s="9">
        <v>1</v>
      </c>
      <c r="V326" s="10">
        <f t="shared" si="51"/>
        <v>299</v>
      </c>
      <c r="W326" s="4" t="s">
        <v>122</v>
      </c>
      <c r="X326" s="2"/>
      <c r="Y326" s="11">
        <v>1</v>
      </c>
      <c r="Z326" s="12">
        <f t="shared" si="52"/>
        <v>0</v>
      </c>
      <c r="AA326" s="4" t="s">
        <v>117</v>
      </c>
      <c r="AC326" s="176">
        <f t="shared" si="53"/>
        <v>9.0909090909090909E-4</v>
      </c>
    </row>
    <row r="327" spans="1:29" customFormat="1">
      <c r="A327" s="181"/>
      <c r="B327" s="183">
        <f t="shared" si="54"/>
        <v>9</v>
      </c>
      <c r="C327" s="107" t="str">
        <f t="shared" si="55"/>
        <v>ATK</v>
      </c>
      <c r="D327" s="2" t="s">
        <v>217</v>
      </c>
      <c r="E327" s="3">
        <v>43889</v>
      </c>
      <c r="F327" s="3">
        <v>43889</v>
      </c>
      <c r="G327" s="108">
        <f t="shared" si="56"/>
        <v>2</v>
      </c>
      <c r="H327" s="108" t="str">
        <f t="shared" si="57"/>
        <v>완료</v>
      </c>
      <c r="I327" s="112" t="s">
        <v>218</v>
      </c>
      <c r="J327" s="4" t="s">
        <v>127</v>
      </c>
      <c r="K327" s="5" t="s">
        <v>131</v>
      </c>
      <c r="L327" s="6" t="str">
        <f t="shared" si="49"/>
        <v>1T4</v>
      </c>
      <c r="M327" s="13" t="s">
        <v>994</v>
      </c>
      <c r="N327" s="7" t="s">
        <v>3634</v>
      </c>
      <c r="O327" s="13" t="s">
        <v>318</v>
      </c>
      <c r="P327" s="115" t="s">
        <v>544</v>
      </c>
      <c r="Q327" s="8" t="s">
        <v>995</v>
      </c>
      <c r="R327" s="2">
        <v>1</v>
      </c>
      <c r="S327" s="9">
        <v>1500</v>
      </c>
      <c r="T327" s="10">
        <f t="shared" si="50"/>
        <v>750</v>
      </c>
      <c r="U327" s="9">
        <v>1</v>
      </c>
      <c r="V327" s="10">
        <f t="shared" si="51"/>
        <v>749</v>
      </c>
      <c r="W327" s="4" t="s">
        <v>122</v>
      </c>
      <c r="X327" s="2"/>
      <c r="Y327" s="11">
        <v>3</v>
      </c>
      <c r="Z327" s="12">
        <f t="shared" si="52"/>
        <v>0</v>
      </c>
      <c r="AA327" s="4" t="s">
        <v>120</v>
      </c>
      <c r="AC327" s="176">
        <f t="shared" si="53"/>
        <v>9.0909090909090909E-4</v>
      </c>
    </row>
    <row r="328" spans="1:29" customFormat="1">
      <c r="A328" s="181"/>
      <c r="B328" s="183">
        <f t="shared" si="54"/>
        <v>9</v>
      </c>
      <c r="C328" s="107" t="str">
        <f t="shared" si="55"/>
        <v>ATK</v>
      </c>
      <c r="D328" s="2" t="s">
        <v>512</v>
      </c>
      <c r="E328" s="3">
        <v>43886</v>
      </c>
      <c r="F328" s="3">
        <v>43889</v>
      </c>
      <c r="G328" s="108">
        <f t="shared" si="56"/>
        <v>2</v>
      </c>
      <c r="H328" s="108" t="str">
        <f t="shared" si="57"/>
        <v>완료</v>
      </c>
      <c r="I328" s="112" t="s">
        <v>218</v>
      </c>
      <c r="J328" s="4" t="s">
        <v>118</v>
      </c>
      <c r="K328" s="5" t="s">
        <v>137</v>
      </c>
      <c r="L328" s="6" t="str">
        <f t="shared" si="49"/>
        <v>2T2</v>
      </c>
      <c r="M328" s="13" t="s">
        <v>256</v>
      </c>
      <c r="N328" s="7" t="s">
        <v>3594</v>
      </c>
      <c r="O328" s="13" t="s">
        <v>478</v>
      </c>
      <c r="P328" s="115" t="s">
        <v>479</v>
      </c>
      <c r="Q328" s="8"/>
      <c r="R328" s="2">
        <v>1</v>
      </c>
      <c r="S328" s="9">
        <v>1600</v>
      </c>
      <c r="T328" s="10">
        <f t="shared" si="50"/>
        <v>800</v>
      </c>
      <c r="U328" s="9">
        <v>30</v>
      </c>
      <c r="V328" s="10">
        <f t="shared" si="51"/>
        <v>770</v>
      </c>
      <c r="W328" s="4" t="s">
        <v>122</v>
      </c>
      <c r="X328" s="2"/>
      <c r="Y328" s="11">
        <v>3</v>
      </c>
      <c r="Z328" s="12">
        <f t="shared" si="52"/>
        <v>3</v>
      </c>
      <c r="AA328" s="4" t="s">
        <v>27</v>
      </c>
      <c r="AC328" s="176">
        <f t="shared" si="53"/>
        <v>2.7272727272727271E-2</v>
      </c>
    </row>
    <row r="329" spans="1:29" customFormat="1">
      <c r="A329" s="181"/>
      <c r="B329" s="183">
        <f t="shared" si="54"/>
        <v>15</v>
      </c>
      <c r="C329" s="107" t="str">
        <f t="shared" si="55"/>
        <v>ATK</v>
      </c>
      <c r="D329" s="2" t="s">
        <v>512</v>
      </c>
      <c r="E329" s="3">
        <v>43886</v>
      </c>
      <c r="F329" s="3">
        <v>43927</v>
      </c>
      <c r="G329" s="108">
        <f t="shared" si="56"/>
        <v>4</v>
      </c>
      <c r="H329" s="108" t="str">
        <f t="shared" si="57"/>
        <v>완료</v>
      </c>
      <c r="I329" s="112" t="s">
        <v>218</v>
      </c>
      <c r="J329" s="4" t="s">
        <v>118</v>
      </c>
      <c r="K329" s="5" t="s">
        <v>137</v>
      </c>
      <c r="L329" s="6" t="str">
        <f t="shared" si="49"/>
        <v>2T2</v>
      </c>
      <c r="M329" s="13" t="s">
        <v>256</v>
      </c>
      <c r="N329" s="7" t="s">
        <v>3594</v>
      </c>
      <c r="O329" s="13" t="s">
        <v>478</v>
      </c>
      <c r="P329" s="115" t="s">
        <v>996</v>
      </c>
      <c r="Q329" s="8"/>
      <c r="R329" s="2">
        <v>1</v>
      </c>
      <c r="S329" s="9">
        <v>1600</v>
      </c>
      <c r="T329" s="10">
        <f t="shared" si="50"/>
        <v>800</v>
      </c>
      <c r="U329" s="9">
        <v>50</v>
      </c>
      <c r="V329" s="10">
        <f t="shared" si="51"/>
        <v>750</v>
      </c>
      <c r="W329" s="4" t="s">
        <v>122</v>
      </c>
      <c r="X329" s="2"/>
      <c r="Y329" s="11">
        <v>8</v>
      </c>
      <c r="Z329" s="12">
        <f t="shared" si="52"/>
        <v>41</v>
      </c>
      <c r="AA329" s="4" t="s">
        <v>27</v>
      </c>
      <c r="AC329" s="176">
        <f t="shared" si="53"/>
        <v>4.5454545454545456E-2</v>
      </c>
    </row>
    <row r="330" spans="1:29" customFormat="1">
      <c r="A330" s="181"/>
      <c r="B330" s="183">
        <f t="shared" si="54"/>
        <v>10</v>
      </c>
      <c r="C330" s="107" t="str">
        <f t="shared" si="55"/>
        <v>ATK</v>
      </c>
      <c r="D330" s="2" t="s">
        <v>295</v>
      </c>
      <c r="E330" s="3">
        <v>43892</v>
      </c>
      <c r="F330" s="3">
        <v>43892</v>
      </c>
      <c r="G330" s="108">
        <f t="shared" si="56"/>
        <v>3</v>
      </c>
      <c r="H330" s="108" t="str">
        <f t="shared" si="57"/>
        <v>완료</v>
      </c>
      <c r="I330" s="112" t="s">
        <v>218</v>
      </c>
      <c r="J330" s="4" t="s">
        <v>132</v>
      </c>
      <c r="K330" s="5" t="s">
        <v>133</v>
      </c>
      <c r="L330" s="6" t="str">
        <f t="shared" si="49"/>
        <v>3T3</v>
      </c>
      <c r="M330" s="13" t="s">
        <v>296</v>
      </c>
      <c r="N330" s="7" t="s">
        <v>157</v>
      </c>
      <c r="O330" s="13" t="s">
        <v>998</v>
      </c>
      <c r="P330" s="115" t="s">
        <v>999</v>
      </c>
      <c r="Q330" s="8"/>
      <c r="R330" s="2">
        <v>1</v>
      </c>
      <c r="S330" s="9">
        <v>700</v>
      </c>
      <c r="T330" s="10">
        <f t="shared" si="50"/>
        <v>350</v>
      </c>
      <c r="U330" s="9">
        <v>10</v>
      </c>
      <c r="V330" s="10">
        <f t="shared" si="51"/>
        <v>340</v>
      </c>
      <c r="W330" s="4" t="s">
        <v>122</v>
      </c>
      <c r="X330" s="2"/>
      <c r="Y330" s="11">
        <v>1</v>
      </c>
      <c r="Z330" s="12">
        <f t="shared" si="52"/>
        <v>0</v>
      </c>
      <c r="AA330" s="4" t="s">
        <v>117</v>
      </c>
      <c r="AC330" s="176">
        <f t="shared" si="53"/>
        <v>9.0909090909090905E-3</v>
      </c>
    </row>
    <row r="331" spans="1:29" customFormat="1">
      <c r="A331" s="181"/>
      <c r="B331" s="183">
        <f t="shared" si="54"/>
        <v>10</v>
      </c>
      <c r="C331" s="107" t="str">
        <f t="shared" si="55"/>
        <v>ATK</v>
      </c>
      <c r="D331" s="2" t="s">
        <v>784</v>
      </c>
      <c r="E331" s="3">
        <v>43892</v>
      </c>
      <c r="F331" s="3">
        <v>43892</v>
      </c>
      <c r="G331" s="108">
        <f t="shared" si="56"/>
        <v>3</v>
      </c>
      <c r="H331" s="108" t="str">
        <f t="shared" si="57"/>
        <v>완료</v>
      </c>
      <c r="I331" s="112" t="s">
        <v>218</v>
      </c>
      <c r="J331" s="4" t="s">
        <v>132</v>
      </c>
      <c r="K331" s="5" t="s">
        <v>133</v>
      </c>
      <c r="L331" s="6" t="str">
        <f t="shared" si="49"/>
        <v>3T3</v>
      </c>
      <c r="M331" s="13" t="s">
        <v>1000</v>
      </c>
      <c r="N331" s="7" t="s">
        <v>3635</v>
      </c>
      <c r="O331" s="13" t="s">
        <v>599</v>
      </c>
      <c r="P331" s="115"/>
      <c r="Q331" s="8"/>
      <c r="R331" s="2">
        <v>1</v>
      </c>
      <c r="S331" s="9">
        <v>600</v>
      </c>
      <c r="T331" s="10">
        <f t="shared" si="50"/>
        <v>300</v>
      </c>
      <c r="U331" s="9">
        <v>3</v>
      </c>
      <c r="V331" s="10">
        <f t="shared" si="51"/>
        <v>297</v>
      </c>
      <c r="W331" s="4" t="s">
        <v>122</v>
      </c>
      <c r="X331" s="2"/>
      <c r="Y331" s="11">
        <v>1</v>
      </c>
      <c r="Z331" s="12">
        <f t="shared" si="52"/>
        <v>0</v>
      </c>
      <c r="AA331" s="4" t="s">
        <v>117</v>
      </c>
      <c r="AC331" s="176">
        <f t="shared" si="53"/>
        <v>2.7272727272727275E-3</v>
      </c>
    </row>
    <row r="332" spans="1:29" customFormat="1">
      <c r="A332" s="181"/>
      <c r="B332" s="183">
        <f t="shared" si="54"/>
        <v>12</v>
      </c>
      <c r="C332" s="107" t="str">
        <f t="shared" si="55"/>
        <v>ATK</v>
      </c>
      <c r="D332" s="2" t="s">
        <v>455</v>
      </c>
      <c r="E332" s="3">
        <v>43892</v>
      </c>
      <c r="F332" s="3">
        <v>43907</v>
      </c>
      <c r="G332" s="108">
        <f t="shared" si="56"/>
        <v>3</v>
      </c>
      <c r="H332" s="108" t="str">
        <f t="shared" si="57"/>
        <v>완료</v>
      </c>
      <c r="I332" s="112" t="s">
        <v>218</v>
      </c>
      <c r="J332" s="4" t="s">
        <v>118</v>
      </c>
      <c r="K332" s="5" t="s">
        <v>137</v>
      </c>
      <c r="L332" s="6" t="str">
        <f t="shared" si="49"/>
        <v>2T2</v>
      </c>
      <c r="M332" s="13" t="s">
        <v>730</v>
      </c>
      <c r="N332" s="7" t="s">
        <v>3491</v>
      </c>
      <c r="O332" s="13" t="s">
        <v>1001</v>
      </c>
      <c r="P332" s="115"/>
      <c r="Q332" s="8"/>
      <c r="R332" s="2">
        <v>1</v>
      </c>
      <c r="S332" s="9">
        <v>3500</v>
      </c>
      <c r="T332" s="10">
        <f t="shared" si="50"/>
        <v>1750</v>
      </c>
      <c r="U332" s="9">
        <v>20</v>
      </c>
      <c r="V332" s="10">
        <f t="shared" si="51"/>
        <v>1730</v>
      </c>
      <c r="W332" s="4" t="s">
        <v>122</v>
      </c>
      <c r="X332" s="2"/>
      <c r="Y332" s="11">
        <v>4</v>
      </c>
      <c r="Z332" s="12">
        <f t="shared" si="52"/>
        <v>15</v>
      </c>
      <c r="AA332" s="4" t="s">
        <v>117</v>
      </c>
      <c r="AC332" s="176">
        <f t="shared" si="53"/>
        <v>1.8181818181818181E-2</v>
      </c>
    </row>
    <row r="333" spans="1:29" customFormat="1">
      <c r="A333" s="181"/>
      <c r="B333" s="183">
        <f t="shared" si="54"/>
        <v>10</v>
      </c>
      <c r="C333" s="107" t="str">
        <f t="shared" si="55"/>
        <v>ATK</v>
      </c>
      <c r="D333" s="2" t="s">
        <v>379</v>
      </c>
      <c r="E333" s="3">
        <v>43892</v>
      </c>
      <c r="F333" s="3">
        <v>43893</v>
      </c>
      <c r="G333" s="108">
        <f t="shared" si="56"/>
        <v>3</v>
      </c>
      <c r="H333" s="108" t="str">
        <f t="shared" si="57"/>
        <v>완료</v>
      </c>
      <c r="I333" s="112" t="s">
        <v>218</v>
      </c>
      <c r="J333" s="4" t="s">
        <v>132</v>
      </c>
      <c r="K333" s="5" t="s">
        <v>322</v>
      </c>
      <c r="L333" s="6" t="str">
        <f t="shared" si="49"/>
        <v>3T1</v>
      </c>
      <c r="M333" s="13" t="s">
        <v>226</v>
      </c>
      <c r="N333" s="7"/>
      <c r="O333" s="13" t="s">
        <v>1002</v>
      </c>
      <c r="P333" s="115"/>
      <c r="Q333" s="8"/>
      <c r="R333" s="2">
        <v>2</v>
      </c>
      <c r="S333" s="9">
        <v>200</v>
      </c>
      <c r="T333" s="10">
        <f t="shared" si="50"/>
        <v>200</v>
      </c>
      <c r="U333" s="9">
        <v>6</v>
      </c>
      <c r="V333" s="10">
        <f t="shared" si="51"/>
        <v>194</v>
      </c>
      <c r="W333" s="4" t="s">
        <v>122</v>
      </c>
      <c r="X333" s="2"/>
      <c r="Y333" s="11">
        <v>1</v>
      </c>
      <c r="Z333" s="12">
        <f t="shared" si="52"/>
        <v>1</v>
      </c>
      <c r="AA333" s="4" t="s">
        <v>117</v>
      </c>
      <c r="AC333" s="176">
        <f t="shared" si="53"/>
        <v>5.454545454545455E-3</v>
      </c>
    </row>
    <row r="334" spans="1:29" customFormat="1">
      <c r="A334" s="181"/>
      <c r="B334" s="183">
        <f t="shared" si="54"/>
        <v>10</v>
      </c>
      <c r="C334" s="107" t="str">
        <f t="shared" si="55"/>
        <v>ATK</v>
      </c>
      <c r="D334" s="2" t="s">
        <v>1003</v>
      </c>
      <c r="E334" s="3">
        <v>43892</v>
      </c>
      <c r="F334" s="3">
        <v>43892</v>
      </c>
      <c r="G334" s="108">
        <f t="shared" si="56"/>
        <v>3</v>
      </c>
      <c r="H334" s="108" t="str">
        <f t="shared" si="57"/>
        <v>완료</v>
      </c>
      <c r="I334" s="112" t="s">
        <v>218</v>
      </c>
      <c r="J334" s="4" t="s">
        <v>132</v>
      </c>
      <c r="K334" s="5" t="s">
        <v>133</v>
      </c>
      <c r="L334" s="6" t="str">
        <f t="shared" si="49"/>
        <v>3T3</v>
      </c>
      <c r="M334" s="13" t="s">
        <v>1004</v>
      </c>
      <c r="N334" s="7" t="s">
        <v>3636</v>
      </c>
      <c r="O334" s="13" t="s">
        <v>589</v>
      </c>
      <c r="P334" s="115"/>
      <c r="Q334" s="8"/>
      <c r="R334" s="2">
        <v>1</v>
      </c>
      <c r="S334" s="9">
        <v>4200</v>
      </c>
      <c r="T334" s="10">
        <f t="shared" si="50"/>
        <v>2100</v>
      </c>
      <c r="U334" s="9">
        <v>70</v>
      </c>
      <c r="V334" s="10">
        <f t="shared" si="51"/>
        <v>2030</v>
      </c>
      <c r="W334" s="4" t="s">
        <v>122</v>
      </c>
      <c r="X334" s="2"/>
      <c r="Y334" s="11">
        <v>2</v>
      </c>
      <c r="Z334" s="12">
        <f t="shared" si="52"/>
        <v>0</v>
      </c>
      <c r="AA334" s="4" t="s">
        <v>117</v>
      </c>
      <c r="AC334" s="176">
        <f t="shared" si="53"/>
        <v>6.363636363636363E-2</v>
      </c>
    </row>
    <row r="335" spans="1:29" customFormat="1">
      <c r="A335" s="181"/>
      <c r="B335" s="183">
        <f t="shared" si="54"/>
        <v>10</v>
      </c>
      <c r="C335" s="107" t="str">
        <f t="shared" si="55"/>
        <v>ATK</v>
      </c>
      <c r="D335" s="2" t="s">
        <v>1005</v>
      </c>
      <c r="E335" s="3">
        <v>43892</v>
      </c>
      <c r="F335" s="3">
        <v>43892</v>
      </c>
      <c r="G335" s="108">
        <f t="shared" si="56"/>
        <v>3</v>
      </c>
      <c r="H335" s="108" t="str">
        <f t="shared" si="57"/>
        <v>완료</v>
      </c>
      <c r="I335" s="112" t="s">
        <v>218</v>
      </c>
      <c r="J335" s="4" t="s">
        <v>118</v>
      </c>
      <c r="K335" s="5" t="s">
        <v>137</v>
      </c>
      <c r="L335" s="6" t="str">
        <f t="shared" si="49"/>
        <v>2T2</v>
      </c>
      <c r="M335" s="13" t="s">
        <v>256</v>
      </c>
      <c r="N335" s="7" t="s">
        <v>3506</v>
      </c>
      <c r="O335" s="13" t="s">
        <v>257</v>
      </c>
      <c r="P335" s="115" t="s">
        <v>1006</v>
      </c>
      <c r="Q335" s="8" t="s">
        <v>1007</v>
      </c>
      <c r="R335" s="2">
        <v>1</v>
      </c>
      <c r="S335" s="9">
        <v>3500</v>
      </c>
      <c r="T335" s="10">
        <f t="shared" si="50"/>
        <v>1750</v>
      </c>
      <c r="U335" s="9">
        <v>50</v>
      </c>
      <c r="V335" s="10">
        <f t="shared" si="51"/>
        <v>1700</v>
      </c>
      <c r="W335" s="4" t="s">
        <v>122</v>
      </c>
      <c r="X335" s="2"/>
      <c r="Y335" s="11">
        <v>4</v>
      </c>
      <c r="Z335" s="12">
        <f t="shared" si="52"/>
        <v>0</v>
      </c>
      <c r="AA335" s="4" t="s">
        <v>259</v>
      </c>
      <c r="AC335" s="176">
        <f t="shared" si="53"/>
        <v>4.5454545454545456E-2</v>
      </c>
    </row>
    <row r="336" spans="1:29" customFormat="1">
      <c r="A336" s="181"/>
      <c r="B336" s="183">
        <f t="shared" si="54"/>
        <v>10</v>
      </c>
      <c r="C336" s="107" t="str">
        <f t="shared" si="55"/>
        <v>ATK</v>
      </c>
      <c r="D336" s="2" t="s">
        <v>1010</v>
      </c>
      <c r="E336" s="3">
        <v>43892</v>
      </c>
      <c r="F336" s="3">
        <v>43892</v>
      </c>
      <c r="G336" s="108">
        <f t="shared" si="56"/>
        <v>3</v>
      </c>
      <c r="H336" s="108" t="str">
        <f t="shared" si="57"/>
        <v>완료</v>
      </c>
      <c r="I336" s="112" t="s">
        <v>218</v>
      </c>
      <c r="J336" s="4" t="s">
        <v>127</v>
      </c>
      <c r="K336" s="5" t="s">
        <v>131</v>
      </c>
      <c r="L336" s="6" t="str">
        <f t="shared" si="49"/>
        <v>1T4</v>
      </c>
      <c r="M336" s="13" t="s">
        <v>1009</v>
      </c>
      <c r="N336" s="7" t="s">
        <v>3637</v>
      </c>
      <c r="O336" s="13" t="s">
        <v>339</v>
      </c>
      <c r="P336" s="115" t="s">
        <v>1008</v>
      </c>
      <c r="Q336" s="8"/>
      <c r="R336" s="2">
        <v>2</v>
      </c>
      <c r="S336" s="9">
        <v>600</v>
      </c>
      <c r="T336" s="10">
        <f t="shared" si="50"/>
        <v>600</v>
      </c>
      <c r="U336" s="9">
        <v>5</v>
      </c>
      <c r="V336" s="10">
        <f t="shared" si="51"/>
        <v>595</v>
      </c>
      <c r="W336" s="4" t="s">
        <v>122</v>
      </c>
      <c r="X336" s="2"/>
      <c r="Y336" s="11">
        <v>4</v>
      </c>
      <c r="Z336" s="12">
        <f t="shared" si="52"/>
        <v>0</v>
      </c>
      <c r="AA336" s="4" t="s">
        <v>117</v>
      </c>
      <c r="AC336" s="176">
        <f t="shared" si="53"/>
        <v>4.5454545454545452E-3</v>
      </c>
    </row>
    <row r="337" spans="1:29" customFormat="1">
      <c r="A337" s="181"/>
      <c r="B337" s="183">
        <f t="shared" si="54"/>
        <v>10</v>
      </c>
      <c r="C337" s="107" t="str">
        <f t="shared" si="55"/>
        <v>ATK</v>
      </c>
      <c r="D337" s="2" t="s">
        <v>1011</v>
      </c>
      <c r="E337" s="3">
        <v>43886</v>
      </c>
      <c r="F337" s="3">
        <v>43892</v>
      </c>
      <c r="G337" s="108">
        <f t="shared" si="56"/>
        <v>3</v>
      </c>
      <c r="H337" s="108" t="str">
        <f t="shared" si="57"/>
        <v>완료</v>
      </c>
      <c r="I337" s="112" t="s">
        <v>1012</v>
      </c>
      <c r="J337" s="4" t="s">
        <v>1013</v>
      </c>
      <c r="K337" s="5" t="s">
        <v>1014</v>
      </c>
      <c r="L337" s="6" t="str">
        <f t="shared" si="49"/>
        <v>1T3</v>
      </c>
      <c r="M337" s="13" t="s">
        <v>1015</v>
      </c>
      <c r="N337" s="7" t="s">
        <v>3638</v>
      </c>
      <c r="O337" s="13" t="s">
        <v>339</v>
      </c>
      <c r="P337" s="115" t="s">
        <v>1016</v>
      </c>
      <c r="Q337" s="8"/>
      <c r="R337" s="2">
        <v>1</v>
      </c>
      <c r="S337" s="9">
        <v>2400</v>
      </c>
      <c r="T337" s="10">
        <f t="shared" si="50"/>
        <v>1200</v>
      </c>
      <c r="U337" s="9">
        <v>150</v>
      </c>
      <c r="V337" s="10">
        <f t="shared" si="51"/>
        <v>1050</v>
      </c>
      <c r="W337" s="4" t="s">
        <v>1017</v>
      </c>
      <c r="X337" s="2"/>
      <c r="Y337" s="11">
        <v>2</v>
      </c>
      <c r="Z337" s="12">
        <f t="shared" si="52"/>
        <v>6</v>
      </c>
      <c r="AA337" s="4" t="s">
        <v>1018</v>
      </c>
      <c r="AC337" s="176">
        <f t="shared" si="53"/>
        <v>0.13636363636363635</v>
      </c>
    </row>
    <row r="338" spans="1:29" customFormat="1">
      <c r="A338" s="181"/>
      <c r="B338" s="183">
        <f t="shared" si="54"/>
        <v>10</v>
      </c>
      <c r="C338" s="107" t="str">
        <f t="shared" si="55"/>
        <v>ATK</v>
      </c>
      <c r="D338" s="2" t="s">
        <v>512</v>
      </c>
      <c r="E338" s="3">
        <v>43892</v>
      </c>
      <c r="F338" s="3">
        <v>43892</v>
      </c>
      <c r="G338" s="108">
        <f t="shared" si="56"/>
        <v>3</v>
      </c>
      <c r="H338" s="108" t="str">
        <f t="shared" si="57"/>
        <v>완료</v>
      </c>
      <c r="I338" s="112" t="s">
        <v>1012</v>
      </c>
      <c r="J338" s="4" t="s">
        <v>481</v>
      </c>
      <c r="K338" s="5" t="s">
        <v>695</v>
      </c>
      <c r="L338" s="6" t="str">
        <f t="shared" si="49"/>
        <v>2T2</v>
      </c>
      <c r="M338" s="13" t="s">
        <v>256</v>
      </c>
      <c r="N338" s="13" t="s">
        <v>3594</v>
      </c>
      <c r="O338" s="13" t="s">
        <v>478</v>
      </c>
      <c r="P338" s="115" t="s">
        <v>1019</v>
      </c>
      <c r="Q338" s="8"/>
      <c r="R338" s="2">
        <v>1</v>
      </c>
      <c r="S338" s="9">
        <v>1600</v>
      </c>
      <c r="T338" s="10">
        <f t="shared" si="50"/>
        <v>800</v>
      </c>
      <c r="U338" s="9">
        <v>50</v>
      </c>
      <c r="V338" s="10">
        <f t="shared" si="51"/>
        <v>750</v>
      </c>
      <c r="W338" s="4" t="s">
        <v>122</v>
      </c>
      <c r="X338" s="2"/>
      <c r="Y338" s="11">
        <v>4</v>
      </c>
      <c r="Z338" s="12">
        <f t="shared" si="52"/>
        <v>0</v>
      </c>
      <c r="AA338" s="4" t="s">
        <v>1020</v>
      </c>
      <c r="AC338" s="176">
        <f t="shared" si="53"/>
        <v>4.5454545454545456E-2</v>
      </c>
    </row>
    <row r="339" spans="1:29" customFormat="1">
      <c r="A339" s="181"/>
      <c r="B339" s="183">
        <f t="shared" si="54"/>
        <v>15</v>
      </c>
      <c r="C339" s="107" t="str">
        <f t="shared" si="55"/>
        <v>ATK</v>
      </c>
      <c r="D339" s="2" t="s">
        <v>455</v>
      </c>
      <c r="E339" s="3">
        <v>43892</v>
      </c>
      <c r="F339" s="3">
        <v>43929</v>
      </c>
      <c r="G339" s="108">
        <f t="shared" si="56"/>
        <v>4</v>
      </c>
      <c r="H339" s="108" t="str">
        <f t="shared" si="57"/>
        <v>완료</v>
      </c>
      <c r="I339" s="112" t="s">
        <v>514</v>
      </c>
      <c r="J339" s="4" t="s">
        <v>118</v>
      </c>
      <c r="K339" s="5" t="s">
        <v>137</v>
      </c>
      <c r="L339" s="6" t="str">
        <f t="shared" si="49"/>
        <v>2T2</v>
      </c>
      <c r="M339" s="13" t="s">
        <v>730</v>
      </c>
      <c r="N339" s="7" t="s">
        <v>5343</v>
      </c>
      <c r="O339" s="13" t="s">
        <v>1021</v>
      </c>
      <c r="P339" s="115"/>
      <c r="Q339" s="8" t="s">
        <v>1714</v>
      </c>
      <c r="R339" s="2">
        <v>1</v>
      </c>
      <c r="S339" s="9">
        <v>5000</v>
      </c>
      <c r="T339" s="10">
        <f t="shared" si="50"/>
        <v>2500</v>
      </c>
      <c r="U339" s="9">
        <v>1500</v>
      </c>
      <c r="V339" s="10">
        <f t="shared" si="51"/>
        <v>1000</v>
      </c>
      <c r="W339" s="4" t="s">
        <v>123</v>
      </c>
      <c r="X339" s="2" t="s">
        <v>124</v>
      </c>
      <c r="Y339" s="11">
        <v>1</v>
      </c>
      <c r="Z339" s="12">
        <f t="shared" si="52"/>
        <v>37</v>
      </c>
      <c r="AA339" s="4" t="s">
        <v>117</v>
      </c>
      <c r="AC339" s="176">
        <f t="shared" si="53"/>
        <v>1.3636363636363635</v>
      </c>
    </row>
    <row r="340" spans="1:29" customFormat="1">
      <c r="A340" s="181"/>
      <c r="B340" s="183">
        <f t="shared" si="54"/>
        <v>11</v>
      </c>
      <c r="C340" s="107" t="str">
        <f t="shared" si="55"/>
        <v>ATK</v>
      </c>
      <c r="D340" s="2" t="s">
        <v>932</v>
      </c>
      <c r="E340" s="3">
        <v>43893</v>
      </c>
      <c r="F340" s="3">
        <v>43899</v>
      </c>
      <c r="G340" s="108">
        <f t="shared" si="56"/>
        <v>3</v>
      </c>
      <c r="H340" s="108" t="str">
        <f t="shared" si="57"/>
        <v>완료</v>
      </c>
      <c r="I340" s="112" t="s">
        <v>264</v>
      </c>
      <c r="J340" s="4" t="s">
        <v>205</v>
      </c>
      <c r="K340" s="5" t="s">
        <v>206</v>
      </c>
      <c r="L340" s="6" t="str">
        <f t="shared" si="49"/>
        <v>1T1</v>
      </c>
      <c r="M340" s="13" t="s">
        <v>226</v>
      </c>
      <c r="N340" s="7" t="s">
        <v>3639</v>
      </c>
      <c r="O340" s="13" t="s">
        <v>997</v>
      </c>
      <c r="P340" s="115" t="s">
        <v>500</v>
      </c>
      <c r="Q340" s="8"/>
      <c r="R340" s="2">
        <v>1</v>
      </c>
      <c r="S340" s="9">
        <v>500</v>
      </c>
      <c r="T340" s="10">
        <f t="shared" si="50"/>
        <v>250</v>
      </c>
      <c r="U340" s="9">
        <v>5</v>
      </c>
      <c r="V340" s="10">
        <f t="shared" si="51"/>
        <v>245</v>
      </c>
      <c r="W340" s="4" t="s">
        <v>122</v>
      </c>
      <c r="X340" s="2"/>
      <c r="Y340" s="11">
        <v>3</v>
      </c>
      <c r="Z340" s="12">
        <f t="shared" si="52"/>
        <v>6</v>
      </c>
      <c r="AA340" s="4" t="s">
        <v>27</v>
      </c>
      <c r="AC340" s="176">
        <f t="shared" si="53"/>
        <v>4.5454545454545452E-3</v>
      </c>
    </row>
    <row r="341" spans="1:29" customFormat="1">
      <c r="A341" s="181"/>
      <c r="B341" s="183">
        <f t="shared" si="54"/>
        <v>10</v>
      </c>
      <c r="C341" s="107" t="str">
        <f t="shared" si="55"/>
        <v>ATK</v>
      </c>
      <c r="D341" s="2" t="s">
        <v>255</v>
      </c>
      <c r="E341" s="3">
        <v>43893</v>
      </c>
      <c r="F341" s="3">
        <v>43893</v>
      </c>
      <c r="G341" s="108">
        <f t="shared" si="56"/>
        <v>3</v>
      </c>
      <c r="H341" s="108" t="str">
        <f t="shared" si="57"/>
        <v>완료</v>
      </c>
      <c r="I341" s="112" t="s">
        <v>218</v>
      </c>
      <c r="J341" s="4" t="s">
        <v>127</v>
      </c>
      <c r="K341" s="5" t="s">
        <v>135</v>
      </c>
      <c r="L341" s="6" t="str">
        <f t="shared" si="49"/>
        <v>1T3</v>
      </c>
      <c r="M341" s="13" t="s">
        <v>256</v>
      </c>
      <c r="N341" s="7" t="s">
        <v>3624</v>
      </c>
      <c r="O341" s="13" t="s">
        <v>482</v>
      </c>
      <c r="P341" s="115" t="s">
        <v>944</v>
      </c>
      <c r="Q341" s="8"/>
      <c r="R341" s="2">
        <v>2</v>
      </c>
      <c r="S341" s="9">
        <v>1600</v>
      </c>
      <c r="T341" s="10">
        <f t="shared" si="50"/>
        <v>1600</v>
      </c>
      <c r="U341" s="9">
        <v>1</v>
      </c>
      <c r="V341" s="10">
        <f t="shared" si="51"/>
        <v>1599</v>
      </c>
      <c r="W341" s="4" t="s">
        <v>122</v>
      </c>
      <c r="X341" s="2"/>
      <c r="Y341" s="11">
        <v>1</v>
      </c>
      <c r="Z341" s="12">
        <f t="shared" si="52"/>
        <v>0</v>
      </c>
      <c r="AA341" s="4" t="s">
        <v>117</v>
      </c>
      <c r="AC341" s="176">
        <f t="shared" si="53"/>
        <v>9.0909090909090909E-4</v>
      </c>
    </row>
    <row r="342" spans="1:29" customFormat="1">
      <c r="A342" s="181"/>
      <c r="B342" s="183">
        <f t="shared" si="54"/>
        <v>10</v>
      </c>
      <c r="C342" s="107" t="str">
        <f t="shared" si="55"/>
        <v>ATK</v>
      </c>
      <c r="D342" s="2" t="s">
        <v>837</v>
      </c>
      <c r="E342" s="3">
        <v>43893</v>
      </c>
      <c r="F342" s="3">
        <v>43893</v>
      </c>
      <c r="G342" s="108">
        <f t="shared" si="56"/>
        <v>3</v>
      </c>
      <c r="H342" s="108" t="str">
        <f t="shared" si="57"/>
        <v>완료</v>
      </c>
      <c r="I342" s="112" t="s">
        <v>218</v>
      </c>
      <c r="J342" s="4" t="s">
        <v>115</v>
      </c>
      <c r="K342" s="5" t="s">
        <v>116</v>
      </c>
      <c r="L342" s="6" t="str">
        <f t="shared" si="49"/>
        <v>EE2</v>
      </c>
      <c r="M342" s="13" t="s">
        <v>256</v>
      </c>
      <c r="N342" s="7" t="s">
        <v>3624</v>
      </c>
      <c r="O342" s="13" t="s">
        <v>1022</v>
      </c>
      <c r="P342" s="115"/>
      <c r="Q342" s="8"/>
      <c r="R342" s="2">
        <v>1</v>
      </c>
      <c r="S342" s="9">
        <v>2200</v>
      </c>
      <c r="T342" s="10">
        <f t="shared" si="50"/>
        <v>1100</v>
      </c>
      <c r="U342" s="9">
        <v>5</v>
      </c>
      <c r="V342" s="10">
        <f t="shared" si="51"/>
        <v>1095</v>
      </c>
      <c r="W342" s="4" t="s">
        <v>122</v>
      </c>
      <c r="X342" s="2"/>
      <c r="Y342" s="11">
        <v>1</v>
      </c>
      <c r="Z342" s="12">
        <f t="shared" si="52"/>
        <v>0</v>
      </c>
      <c r="AA342" s="4" t="s">
        <v>117</v>
      </c>
      <c r="AC342" s="176">
        <f t="shared" si="53"/>
        <v>4.5454545454545452E-3</v>
      </c>
    </row>
    <row r="343" spans="1:29" customFormat="1">
      <c r="A343" s="181"/>
      <c r="B343" s="183">
        <f t="shared" si="54"/>
        <v>10</v>
      </c>
      <c r="C343" s="107" t="str">
        <f t="shared" si="55"/>
        <v>ATK</v>
      </c>
      <c r="D343" s="2" t="s">
        <v>1023</v>
      </c>
      <c r="E343" s="3">
        <v>43892</v>
      </c>
      <c r="F343" s="3">
        <v>43893</v>
      </c>
      <c r="G343" s="108">
        <f t="shared" si="56"/>
        <v>3</v>
      </c>
      <c r="H343" s="108" t="str">
        <f t="shared" si="57"/>
        <v>완료</v>
      </c>
      <c r="I343" s="112" t="s">
        <v>218</v>
      </c>
      <c r="J343" s="4" t="s">
        <v>127</v>
      </c>
      <c r="K343" s="5" t="s">
        <v>131</v>
      </c>
      <c r="L343" s="6" t="str">
        <f t="shared" si="49"/>
        <v>1T4</v>
      </c>
      <c r="M343" s="13" t="s">
        <v>1024</v>
      </c>
      <c r="N343" s="7" t="s">
        <v>3640</v>
      </c>
      <c r="O343" s="13" t="s">
        <v>1755</v>
      </c>
      <c r="P343" s="115" t="s">
        <v>1025</v>
      </c>
      <c r="Q343" s="8"/>
      <c r="R343" s="2">
        <v>1</v>
      </c>
      <c r="S343" s="9">
        <v>560</v>
      </c>
      <c r="T343" s="10">
        <f t="shared" si="50"/>
        <v>280</v>
      </c>
      <c r="U343" s="9">
        <v>80</v>
      </c>
      <c r="V343" s="10">
        <f t="shared" si="51"/>
        <v>200</v>
      </c>
      <c r="W343" s="4" t="s">
        <v>122</v>
      </c>
      <c r="X343" s="2"/>
      <c r="Y343" s="11">
        <v>4</v>
      </c>
      <c r="Z343" s="12">
        <f t="shared" si="52"/>
        <v>1</v>
      </c>
      <c r="AA343" s="4" t="s">
        <v>259</v>
      </c>
      <c r="AC343" s="176">
        <f t="shared" si="53"/>
        <v>7.2727272727272724E-2</v>
      </c>
    </row>
    <row r="344" spans="1:29" customFormat="1">
      <c r="A344" s="181"/>
      <c r="B344" s="183">
        <f t="shared" si="54"/>
        <v>10</v>
      </c>
      <c r="C344" s="107" t="str">
        <f t="shared" si="55"/>
        <v>ATK</v>
      </c>
      <c r="D344" s="2" t="s">
        <v>1028</v>
      </c>
      <c r="E344" s="3">
        <v>43893</v>
      </c>
      <c r="F344" s="3">
        <v>43893</v>
      </c>
      <c r="G344" s="108">
        <f t="shared" si="56"/>
        <v>3</v>
      </c>
      <c r="H344" s="108" t="str">
        <f t="shared" si="57"/>
        <v>완료</v>
      </c>
      <c r="I344" s="112" t="s">
        <v>218</v>
      </c>
      <c r="J344" s="4" t="s">
        <v>121</v>
      </c>
      <c r="K344" s="5" t="s">
        <v>229</v>
      </c>
      <c r="L344" s="6" t="str">
        <f t="shared" si="49"/>
        <v>5T2</v>
      </c>
      <c r="M344" s="13" t="s">
        <v>1027</v>
      </c>
      <c r="N344" s="7" t="s">
        <v>3641</v>
      </c>
      <c r="O344" s="13" t="s">
        <v>268</v>
      </c>
      <c r="P344" s="115" t="s">
        <v>1026</v>
      </c>
      <c r="Q344" s="8"/>
      <c r="R344" s="2">
        <v>1</v>
      </c>
      <c r="S344" s="9">
        <v>500</v>
      </c>
      <c r="T344" s="10">
        <f t="shared" si="50"/>
        <v>250</v>
      </c>
      <c r="U344" s="9">
        <v>10</v>
      </c>
      <c r="V344" s="10">
        <f t="shared" si="51"/>
        <v>240</v>
      </c>
      <c r="W344" s="4" t="s">
        <v>122</v>
      </c>
      <c r="X344" s="2"/>
      <c r="Y344" s="11">
        <v>4</v>
      </c>
      <c r="Z344" s="12">
        <f t="shared" si="52"/>
        <v>0</v>
      </c>
      <c r="AA344" s="4" t="s">
        <v>259</v>
      </c>
      <c r="AC344" s="176">
        <f t="shared" si="53"/>
        <v>9.0909090909090905E-3</v>
      </c>
    </row>
    <row r="345" spans="1:29" customFormat="1">
      <c r="A345" s="181"/>
      <c r="B345" s="183">
        <f t="shared" si="54"/>
        <v>10</v>
      </c>
      <c r="C345" s="107" t="str">
        <f t="shared" si="55"/>
        <v>ATK</v>
      </c>
      <c r="D345" s="2" t="s">
        <v>704</v>
      </c>
      <c r="E345" s="3">
        <v>43893</v>
      </c>
      <c r="F345" s="3">
        <v>43893</v>
      </c>
      <c r="G345" s="108">
        <f t="shared" si="56"/>
        <v>3</v>
      </c>
      <c r="H345" s="108" t="str">
        <f t="shared" si="57"/>
        <v>완료</v>
      </c>
      <c r="I345" s="112" t="s">
        <v>218</v>
      </c>
      <c r="J345" s="4" t="s">
        <v>127</v>
      </c>
      <c r="K345" s="5" t="s">
        <v>131</v>
      </c>
      <c r="L345" s="6" t="str">
        <f t="shared" si="49"/>
        <v>1T4</v>
      </c>
      <c r="M345" s="13" t="s">
        <v>705</v>
      </c>
      <c r="N345" s="7" t="s">
        <v>3642</v>
      </c>
      <c r="O345" s="13" t="s">
        <v>1029</v>
      </c>
      <c r="P345" s="115"/>
      <c r="Q345" s="8"/>
      <c r="R345" s="2">
        <v>1</v>
      </c>
      <c r="S345" s="9">
        <v>700</v>
      </c>
      <c r="T345" s="10">
        <f t="shared" si="50"/>
        <v>350</v>
      </c>
      <c r="U345" s="9">
        <v>1</v>
      </c>
      <c r="V345" s="10">
        <f t="shared" si="51"/>
        <v>349</v>
      </c>
      <c r="W345" s="4" t="s">
        <v>122</v>
      </c>
      <c r="X345" s="2"/>
      <c r="Y345" s="11">
        <v>1</v>
      </c>
      <c r="Z345" s="12">
        <f t="shared" si="52"/>
        <v>0</v>
      </c>
      <c r="AA345" s="4" t="s">
        <v>117</v>
      </c>
      <c r="AC345" s="176">
        <f t="shared" si="53"/>
        <v>9.0909090909090909E-4</v>
      </c>
    </row>
    <row r="346" spans="1:29" customFormat="1">
      <c r="A346" s="181"/>
      <c r="B346" s="183">
        <f t="shared" si="54"/>
        <v>10</v>
      </c>
      <c r="C346" s="107" t="str">
        <f t="shared" si="55"/>
        <v>ATK</v>
      </c>
      <c r="D346" s="2" t="s">
        <v>1030</v>
      </c>
      <c r="E346" s="3">
        <v>43893</v>
      </c>
      <c r="F346" s="3">
        <v>43893</v>
      </c>
      <c r="G346" s="108">
        <f t="shared" si="56"/>
        <v>3</v>
      </c>
      <c r="H346" s="108" t="str">
        <f t="shared" si="57"/>
        <v>완료</v>
      </c>
      <c r="I346" s="112" t="s">
        <v>218</v>
      </c>
      <c r="J346" s="4" t="s">
        <v>132</v>
      </c>
      <c r="K346" s="5" t="s">
        <v>133</v>
      </c>
      <c r="L346" s="6" t="str">
        <f t="shared" si="49"/>
        <v>3T3</v>
      </c>
      <c r="M346" s="13" t="s">
        <v>1031</v>
      </c>
      <c r="N346" s="7" t="s">
        <v>3546</v>
      </c>
      <c r="O346" s="13" t="s">
        <v>1032</v>
      </c>
      <c r="P346" s="115" t="s">
        <v>1033</v>
      </c>
      <c r="Q346" s="8"/>
      <c r="R346" s="2">
        <v>2</v>
      </c>
      <c r="S346" s="9">
        <v>400</v>
      </c>
      <c r="T346" s="10">
        <f t="shared" si="50"/>
        <v>400</v>
      </c>
      <c r="U346" s="9">
        <v>12</v>
      </c>
      <c r="V346" s="10">
        <f t="shared" si="51"/>
        <v>388</v>
      </c>
      <c r="W346" s="4" t="s">
        <v>122</v>
      </c>
      <c r="X346" s="2"/>
      <c r="Y346" s="11">
        <v>1</v>
      </c>
      <c r="Z346" s="12">
        <f t="shared" si="52"/>
        <v>0</v>
      </c>
      <c r="AA346" s="4" t="s">
        <v>117</v>
      </c>
      <c r="AC346" s="176">
        <f t="shared" si="53"/>
        <v>1.090909090909091E-2</v>
      </c>
    </row>
    <row r="347" spans="1:29" customFormat="1">
      <c r="A347" s="181"/>
      <c r="B347" s="183">
        <f t="shared" si="54"/>
        <v>10</v>
      </c>
      <c r="C347" s="107" t="str">
        <f t="shared" si="55"/>
        <v>ATK</v>
      </c>
      <c r="D347" s="2" t="s">
        <v>1034</v>
      </c>
      <c r="E347" s="3">
        <v>43893</v>
      </c>
      <c r="F347" s="3">
        <v>43893</v>
      </c>
      <c r="G347" s="108">
        <f t="shared" si="56"/>
        <v>3</v>
      </c>
      <c r="H347" s="108" t="str">
        <f t="shared" si="57"/>
        <v>완료</v>
      </c>
      <c r="I347" s="112" t="s">
        <v>1035</v>
      </c>
      <c r="J347" s="4" t="s">
        <v>1036</v>
      </c>
      <c r="K347" s="5" t="s">
        <v>1037</v>
      </c>
      <c r="L347" s="6" t="str">
        <f t="shared" si="49"/>
        <v>6T2</v>
      </c>
      <c r="M347" s="13" t="s">
        <v>1015</v>
      </c>
      <c r="N347" s="7" t="s">
        <v>3643</v>
      </c>
      <c r="O347" s="13" t="s">
        <v>1038</v>
      </c>
      <c r="P347" s="115" t="s">
        <v>1039</v>
      </c>
      <c r="Q347" s="8"/>
      <c r="R347" s="2">
        <v>1</v>
      </c>
      <c r="S347" s="9">
        <v>2500</v>
      </c>
      <c r="T347" s="10">
        <f t="shared" si="50"/>
        <v>1250</v>
      </c>
      <c r="U347" s="9">
        <v>50</v>
      </c>
      <c r="V347" s="10">
        <f t="shared" si="51"/>
        <v>1200</v>
      </c>
      <c r="W347" s="4" t="s">
        <v>1040</v>
      </c>
      <c r="X347" s="2"/>
      <c r="Y347" s="11">
        <v>4</v>
      </c>
      <c r="Z347" s="12">
        <f t="shared" si="52"/>
        <v>0</v>
      </c>
      <c r="AA347" s="4" t="s">
        <v>1041</v>
      </c>
      <c r="AC347" s="176">
        <f t="shared" si="53"/>
        <v>4.5454545454545456E-2</v>
      </c>
    </row>
    <row r="348" spans="1:29" customFormat="1">
      <c r="A348" s="181"/>
      <c r="B348" s="183">
        <f t="shared" si="54"/>
        <v>10</v>
      </c>
      <c r="C348" s="107" t="str">
        <f t="shared" si="55"/>
        <v>ATK</v>
      </c>
      <c r="D348" s="2" t="s">
        <v>890</v>
      </c>
      <c r="E348" s="3">
        <v>43892</v>
      </c>
      <c r="F348" s="3">
        <v>43893</v>
      </c>
      <c r="G348" s="108">
        <f t="shared" si="56"/>
        <v>3</v>
      </c>
      <c r="H348" s="108" t="str">
        <f t="shared" si="57"/>
        <v>완료</v>
      </c>
      <c r="I348" s="112" t="s">
        <v>1035</v>
      </c>
      <c r="J348" s="4" t="s">
        <v>127</v>
      </c>
      <c r="K348" s="5" t="s">
        <v>135</v>
      </c>
      <c r="L348" s="6" t="str">
        <f t="shared" si="49"/>
        <v>1T3</v>
      </c>
      <c r="M348" s="13" t="s">
        <v>256</v>
      </c>
      <c r="N348" s="13" t="s">
        <v>3529</v>
      </c>
      <c r="O348" s="13" t="s">
        <v>478</v>
      </c>
      <c r="P348" s="115" t="s">
        <v>1019</v>
      </c>
      <c r="Q348" s="8"/>
      <c r="R348" s="2">
        <v>1</v>
      </c>
      <c r="S348" s="9">
        <v>1600</v>
      </c>
      <c r="T348" s="10">
        <f t="shared" si="50"/>
        <v>800</v>
      </c>
      <c r="U348" s="9">
        <v>100</v>
      </c>
      <c r="V348" s="10">
        <f t="shared" si="51"/>
        <v>700</v>
      </c>
      <c r="W348" s="4" t="s">
        <v>122</v>
      </c>
      <c r="X348" s="2"/>
      <c r="Y348" s="11">
        <v>3</v>
      </c>
      <c r="Z348" s="12">
        <f t="shared" si="52"/>
        <v>1</v>
      </c>
      <c r="AA348" s="4" t="s">
        <v>697</v>
      </c>
      <c r="AC348" s="176">
        <f t="shared" si="53"/>
        <v>9.0909090909090912E-2</v>
      </c>
    </row>
    <row r="349" spans="1:29" customFormat="1">
      <c r="A349" s="181"/>
      <c r="B349" s="183">
        <f t="shared" si="54"/>
        <v>10</v>
      </c>
      <c r="C349" s="107" t="str">
        <f t="shared" si="55"/>
        <v>ATK</v>
      </c>
      <c r="D349" s="2" t="s">
        <v>1042</v>
      </c>
      <c r="E349" s="3">
        <v>43893</v>
      </c>
      <c r="F349" s="3">
        <v>43894</v>
      </c>
      <c r="G349" s="108">
        <f t="shared" si="56"/>
        <v>3</v>
      </c>
      <c r="H349" s="108" t="str">
        <f t="shared" si="57"/>
        <v>완료</v>
      </c>
      <c r="I349" s="112" t="s">
        <v>218</v>
      </c>
      <c r="J349" s="4" t="s">
        <v>127</v>
      </c>
      <c r="K349" s="5" t="s">
        <v>135</v>
      </c>
      <c r="L349" s="6" t="str">
        <f t="shared" si="49"/>
        <v>1T3</v>
      </c>
      <c r="M349" s="13" t="s">
        <v>256</v>
      </c>
      <c r="N349" s="7" t="s">
        <v>3506</v>
      </c>
      <c r="O349" s="13" t="s">
        <v>1043</v>
      </c>
      <c r="P349" s="115" t="s">
        <v>1044</v>
      </c>
      <c r="Q349" s="8" t="s">
        <v>1049</v>
      </c>
      <c r="R349" s="2">
        <v>1</v>
      </c>
      <c r="S349" s="9">
        <v>3500</v>
      </c>
      <c r="T349" s="10">
        <f t="shared" si="50"/>
        <v>1750</v>
      </c>
      <c r="U349" s="9"/>
      <c r="V349" s="10">
        <f t="shared" si="51"/>
        <v>1750</v>
      </c>
      <c r="W349" s="4" t="s">
        <v>122</v>
      </c>
      <c r="X349" s="2"/>
      <c r="Y349" s="11">
        <v>6</v>
      </c>
      <c r="Z349" s="12">
        <f t="shared" si="52"/>
        <v>1</v>
      </c>
      <c r="AA349" s="4" t="s">
        <v>259</v>
      </c>
      <c r="AC349" s="176">
        <f t="shared" si="53"/>
        <v>0</v>
      </c>
    </row>
    <row r="350" spans="1:29" customFormat="1">
      <c r="A350" s="181"/>
      <c r="B350" s="183">
        <f t="shared" si="54"/>
        <v>10</v>
      </c>
      <c r="C350" s="107" t="str">
        <f t="shared" si="55"/>
        <v>ATK</v>
      </c>
      <c r="D350" s="2" t="s">
        <v>1045</v>
      </c>
      <c r="E350" s="3">
        <v>43894</v>
      </c>
      <c r="F350" s="3">
        <v>43894</v>
      </c>
      <c r="G350" s="108">
        <f t="shared" si="56"/>
        <v>3</v>
      </c>
      <c r="H350" s="108" t="str">
        <f t="shared" si="57"/>
        <v>완료</v>
      </c>
      <c r="I350" s="112" t="s">
        <v>218</v>
      </c>
      <c r="J350" s="4" t="s">
        <v>127</v>
      </c>
      <c r="K350" s="5" t="s">
        <v>131</v>
      </c>
      <c r="L350" s="6" t="str">
        <f t="shared" si="49"/>
        <v>1T4</v>
      </c>
      <c r="M350" s="13" t="s">
        <v>1046</v>
      </c>
      <c r="N350" s="7" t="s">
        <v>3644</v>
      </c>
      <c r="O350" s="13" t="s">
        <v>1047</v>
      </c>
      <c r="P350" s="115" t="s">
        <v>1048</v>
      </c>
      <c r="Q350" s="8"/>
      <c r="R350" s="2">
        <v>1</v>
      </c>
      <c r="S350" s="9">
        <v>1200</v>
      </c>
      <c r="T350" s="10">
        <f t="shared" si="50"/>
        <v>600</v>
      </c>
      <c r="U350" s="9"/>
      <c r="V350" s="10">
        <f t="shared" si="51"/>
        <v>600</v>
      </c>
      <c r="W350" s="4" t="s">
        <v>122</v>
      </c>
      <c r="X350" s="2"/>
      <c r="Y350" s="11">
        <v>2</v>
      </c>
      <c r="Z350" s="12">
        <f t="shared" si="52"/>
        <v>0</v>
      </c>
      <c r="AA350" s="4" t="s">
        <v>259</v>
      </c>
      <c r="AC350" s="176">
        <f t="shared" si="53"/>
        <v>0</v>
      </c>
    </row>
    <row r="351" spans="1:29" customFormat="1">
      <c r="A351" s="181"/>
      <c r="B351" s="183">
        <f t="shared" si="54"/>
        <v>11</v>
      </c>
      <c r="C351" s="107" t="str">
        <f t="shared" si="55"/>
        <v>ATK</v>
      </c>
      <c r="D351" s="2" t="s">
        <v>1050</v>
      </c>
      <c r="E351" s="3">
        <v>43894</v>
      </c>
      <c r="F351" s="3">
        <v>43899</v>
      </c>
      <c r="G351" s="108">
        <f t="shared" si="56"/>
        <v>3</v>
      </c>
      <c r="H351" s="108" t="str">
        <f t="shared" si="57"/>
        <v>완료</v>
      </c>
      <c r="I351" s="112" t="s">
        <v>1051</v>
      </c>
      <c r="J351" s="4" t="s">
        <v>1052</v>
      </c>
      <c r="K351" s="5" t="s">
        <v>1053</v>
      </c>
      <c r="L351" s="6" t="str">
        <f t="shared" si="49"/>
        <v>2T2</v>
      </c>
      <c r="M351" s="13" t="s">
        <v>1054</v>
      </c>
      <c r="N351" s="7" t="s">
        <v>3604</v>
      </c>
      <c r="O351" s="13" t="s">
        <v>1054</v>
      </c>
      <c r="P351" s="115" t="s">
        <v>1055</v>
      </c>
      <c r="Q351" s="8"/>
      <c r="R351" s="2">
        <v>1</v>
      </c>
      <c r="S351" s="9">
        <v>500</v>
      </c>
      <c r="T351" s="10">
        <f t="shared" si="50"/>
        <v>250</v>
      </c>
      <c r="U351" s="9">
        <v>50</v>
      </c>
      <c r="V351" s="10">
        <f t="shared" si="51"/>
        <v>200</v>
      </c>
      <c r="W351" s="4" t="s">
        <v>1056</v>
      </c>
      <c r="X351" s="2"/>
      <c r="Y351" s="11">
        <v>4</v>
      </c>
      <c r="Z351" s="12">
        <f t="shared" si="52"/>
        <v>5</v>
      </c>
      <c r="AA351" s="4" t="s">
        <v>1057</v>
      </c>
      <c r="AC351" s="176">
        <f t="shared" si="53"/>
        <v>4.5454545454545456E-2</v>
      </c>
    </row>
    <row r="352" spans="1:29" customFormat="1">
      <c r="A352" s="181"/>
      <c r="B352" s="183">
        <f t="shared" si="54"/>
        <v>15</v>
      </c>
      <c r="C352" s="107" t="str">
        <f t="shared" si="55"/>
        <v>ATK</v>
      </c>
      <c r="D352" s="2" t="s">
        <v>255</v>
      </c>
      <c r="E352" s="3">
        <v>43894</v>
      </c>
      <c r="F352" s="3">
        <v>43930</v>
      </c>
      <c r="G352" s="108">
        <f t="shared" si="56"/>
        <v>4</v>
      </c>
      <c r="H352" s="108" t="str">
        <f t="shared" si="57"/>
        <v>완료</v>
      </c>
      <c r="I352" s="112" t="s">
        <v>218</v>
      </c>
      <c r="J352" s="4" t="s">
        <v>127</v>
      </c>
      <c r="K352" s="5" t="s">
        <v>135</v>
      </c>
      <c r="L352" s="6" t="str">
        <f t="shared" si="49"/>
        <v>1T3</v>
      </c>
      <c r="M352" s="13" t="s">
        <v>256</v>
      </c>
      <c r="N352" s="7" t="s">
        <v>3506</v>
      </c>
      <c r="O352" s="13" t="s">
        <v>257</v>
      </c>
      <c r="P352" s="115"/>
      <c r="Q352" s="8"/>
      <c r="R352" s="2">
        <v>1</v>
      </c>
      <c r="S352" s="9">
        <v>3500</v>
      </c>
      <c r="T352" s="10">
        <f t="shared" si="50"/>
        <v>1750</v>
      </c>
      <c r="U352" s="9"/>
      <c r="V352" s="10">
        <f t="shared" si="51"/>
        <v>1750</v>
      </c>
      <c r="W352" s="4" t="s">
        <v>122</v>
      </c>
      <c r="X352" s="2"/>
      <c r="Y352" s="11"/>
      <c r="Z352" s="12">
        <f t="shared" si="52"/>
        <v>36</v>
      </c>
      <c r="AA352" s="4" t="s">
        <v>212</v>
      </c>
      <c r="AC352" s="176">
        <f t="shared" si="53"/>
        <v>0</v>
      </c>
    </row>
    <row r="353" spans="1:29" customFormat="1">
      <c r="A353" s="181"/>
      <c r="B353" s="183">
        <f t="shared" si="54"/>
        <v>11</v>
      </c>
      <c r="C353" s="107" t="str">
        <f t="shared" si="55"/>
        <v>ATK</v>
      </c>
      <c r="D353" s="2" t="s">
        <v>1058</v>
      </c>
      <c r="E353" s="3">
        <v>43894</v>
      </c>
      <c r="F353" s="3">
        <v>43899</v>
      </c>
      <c r="G353" s="108">
        <f t="shared" si="56"/>
        <v>3</v>
      </c>
      <c r="H353" s="108" t="str">
        <f t="shared" si="57"/>
        <v>완료</v>
      </c>
      <c r="I353" s="112" t="s">
        <v>264</v>
      </c>
      <c r="J353" s="4" t="s">
        <v>1059</v>
      </c>
      <c r="K353" s="5" t="s">
        <v>1060</v>
      </c>
      <c r="L353" s="6" t="str">
        <f t="shared" si="49"/>
        <v>2T2</v>
      </c>
      <c r="M353" s="13" t="s">
        <v>256</v>
      </c>
      <c r="N353" s="7" t="s">
        <v>3506</v>
      </c>
      <c r="O353" s="7" t="s">
        <v>362</v>
      </c>
      <c r="P353" s="115"/>
      <c r="Q353" s="8"/>
      <c r="R353" s="2">
        <v>1</v>
      </c>
      <c r="S353" s="9">
        <v>500</v>
      </c>
      <c r="T353" s="10">
        <f t="shared" si="50"/>
        <v>250</v>
      </c>
      <c r="U353" s="9">
        <v>200</v>
      </c>
      <c r="V353" s="10">
        <f t="shared" si="51"/>
        <v>50</v>
      </c>
      <c r="W353" s="4" t="s">
        <v>122</v>
      </c>
      <c r="X353" s="2"/>
      <c r="Y353" s="11">
        <v>1</v>
      </c>
      <c r="Z353" s="12">
        <f t="shared" si="52"/>
        <v>5</v>
      </c>
      <c r="AA353" s="4" t="s">
        <v>1084</v>
      </c>
      <c r="AC353" s="176">
        <f t="shared" si="53"/>
        <v>0.18181818181818182</v>
      </c>
    </row>
    <row r="354" spans="1:29" customFormat="1">
      <c r="A354" s="181"/>
      <c r="B354" s="183">
        <f t="shared" si="54"/>
        <v>10</v>
      </c>
      <c r="C354" s="107" t="str">
        <f t="shared" si="55"/>
        <v>ATK</v>
      </c>
      <c r="D354" s="2" t="s">
        <v>919</v>
      </c>
      <c r="E354" s="3">
        <v>43894</v>
      </c>
      <c r="F354" s="3">
        <v>43894</v>
      </c>
      <c r="G354" s="108">
        <f t="shared" si="56"/>
        <v>3</v>
      </c>
      <c r="H354" s="108" t="str">
        <f t="shared" si="57"/>
        <v>완료</v>
      </c>
      <c r="I354" s="112" t="s">
        <v>678</v>
      </c>
      <c r="J354" s="4" t="s">
        <v>679</v>
      </c>
      <c r="K354" s="5" t="s">
        <v>921</v>
      </c>
      <c r="L354" s="6" t="str">
        <f t="shared" si="49"/>
        <v>6T2</v>
      </c>
      <c r="M354" s="13" t="s">
        <v>1061</v>
      </c>
      <c r="N354" s="7" t="s">
        <v>3645</v>
      </c>
      <c r="O354" s="13" t="s">
        <v>707</v>
      </c>
      <c r="P354" s="115" t="s">
        <v>654</v>
      </c>
      <c r="Q354" s="8"/>
      <c r="R354" s="2">
        <v>1</v>
      </c>
      <c r="S354" s="9">
        <v>1000</v>
      </c>
      <c r="T354" s="10">
        <f t="shared" si="50"/>
        <v>500</v>
      </c>
      <c r="U354" s="9">
        <v>50</v>
      </c>
      <c r="V354" s="10">
        <f t="shared" si="51"/>
        <v>450</v>
      </c>
      <c r="W354" s="4" t="s">
        <v>655</v>
      </c>
      <c r="X354" s="2"/>
      <c r="Y354" s="11">
        <v>8</v>
      </c>
      <c r="Z354" s="12">
        <f t="shared" si="52"/>
        <v>0</v>
      </c>
      <c r="AA354" s="4" t="s">
        <v>212</v>
      </c>
      <c r="AC354" s="176">
        <f t="shared" si="53"/>
        <v>4.5454545454545456E-2</v>
      </c>
    </row>
    <row r="355" spans="1:29" customFormat="1">
      <c r="A355" s="181"/>
      <c r="B355" s="183">
        <f t="shared" si="54"/>
        <v>10</v>
      </c>
      <c r="C355" s="107" t="str">
        <f t="shared" si="55"/>
        <v>ATK</v>
      </c>
      <c r="D355" s="2" t="s">
        <v>255</v>
      </c>
      <c r="E355" s="3">
        <v>43895</v>
      </c>
      <c r="F355" s="3">
        <v>43895</v>
      </c>
      <c r="G355" s="108">
        <f t="shared" si="56"/>
        <v>3</v>
      </c>
      <c r="H355" s="108" t="str">
        <f t="shared" si="57"/>
        <v>완료</v>
      </c>
      <c r="I355" s="112" t="s">
        <v>264</v>
      </c>
      <c r="J355" s="4" t="s">
        <v>127</v>
      </c>
      <c r="K355" s="5" t="s">
        <v>135</v>
      </c>
      <c r="L355" s="6" t="str">
        <f t="shared" si="49"/>
        <v>1T3</v>
      </c>
      <c r="M355" s="13" t="s">
        <v>256</v>
      </c>
      <c r="N355" s="7" t="s">
        <v>3529</v>
      </c>
      <c r="O355" s="13" t="s">
        <v>482</v>
      </c>
      <c r="P355" s="115" t="s">
        <v>1062</v>
      </c>
      <c r="Q355" s="8"/>
      <c r="R355" s="2">
        <v>1</v>
      </c>
      <c r="S355" s="9">
        <v>1600</v>
      </c>
      <c r="T355" s="10">
        <f t="shared" si="50"/>
        <v>800</v>
      </c>
      <c r="U355" s="9">
        <v>10</v>
      </c>
      <c r="V355" s="10">
        <f t="shared" si="51"/>
        <v>790</v>
      </c>
      <c r="W355" s="4" t="s">
        <v>249</v>
      </c>
      <c r="X355" s="2"/>
      <c r="Y355" s="11">
        <v>2</v>
      </c>
      <c r="Z355" s="12">
        <f t="shared" si="52"/>
        <v>0</v>
      </c>
      <c r="AA355" s="4" t="s">
        <v>27</v>
      </c>
      <c r="AC355" s="176">
        <f t="shared" si="53"/>
        <v>9.0909090909090905E-3</v>
      </c>
    </row>
    <row r="356" spans="1:29" customFormat="1">
      <c r="A356" s="181"/>
      <c r="B356" s="183">
        <f t="shared" si="54"/>
        <v>10</v>
      </c>
      <c r="C356" s="107" t="str">
        <f t="shared" si="55"/>
        <v>ATK</v>
      </c>
      <c r="D356" s="2" t="s">
        <v>255</v>
      </c>
      <c r="E356" s="3">
        <v>43887</v>
      </c>
      <c r="F356" s="3">
        <v>43895</v>
      </c>
      <c r="G356" s="108">
        <f t="shared" si="56"/>
        <v>3</v>
      </c>
      <c r="H356" s="108" t="str">
        <f t="shared" si="57"/>
        <v>완료</v>
      </c>
      <c r="I356" s="112" t="s">
        <v>264</v>
      </c>
      <c r="J356" s="4" t="s">
        <v>127</v>
      </c>
      <c r="K356" s="5" t="s">
        <v>135</v>
      </c>
      <c r="L356" s="6" t="str">
        <f t="shared" si="49"/>
        <v>1T3</v>
      </c>
      <c r="M356" s="13" t="s">
        <v>256</v>
      </c>
      <c r="N356" s="7" t="s">
        <v>3529</v>
      </c>
      <c r="O356" s="13" t="s">
        <v>482</v>
      </c>
      <c r="P356" s="115" t="s">
        <v>1063</v>
      </c>
      <c r="Q356" s="8"/>
      <c r="R356" s="2">
        <v>1</v>
      </c>
      <c r="S356" s="9">
        <v>1600</v>
      </c>
      <c r="T356" s="10">
        <f t="shared" si="50"/>
        <v>800</v>
      </c>
      <c r="U356" s="9">
        <v>50</v>
      </c>
      <c r="V356" s="10">
        <f t="shared" si="51"/>
        <v>750</v>
      </c>
      <c r="W356" s="4" t="s">
        <v>249</v>
      </c>
      <c r="X356" s="2"/>
      <c r="Y356" s="11">
        <v>2</v>
      </c>
      <c r="Z356" s="12">
        <f t="shared" si="52"/>
        <v>8</v>
      </c>
      <c r="AA356" s="4" t="s">
        <v>27</v>
      </c>
      <c r="AC356" s="176">
        <f t="shared" si="53"/>
        <v>4.5454545454545456E-2</v>
      </c>
    </row>
    <row r="357" spans="1:29" customFormat="1">
      <c r="A357" s="181"/>
      <c r="B357" s="183">
        <f t="shared" si="54"/>
        <v>10</v>
      </c>
      <c r="C357" s="107" t="str">
        <f t="shared" si="55"/>
        <v>ATK</v>
      </c>
      <c r="D357" s="2" t="s">
        <v>295</v>
      </c>
      <c r="E357" s="3">
        <v>43895</v>
      </c>
      <c r="F357" s="3">
        <v>43895</v>
      </c>
      <c r="G357" s="108">
        <f t="shared" si="56"/>
        <v>3</v>
      </c>
      <c r="H357" s="108" t="str">
        <f t="shared" si="57"/>
        <v>완료</v>
      </c>
      <c r="I357" s="112" t="s">
        <v>218</v>
      </c>
      <c r="J357" s="4" t="s">
        <v>132</v>
      </c>
      <c r="K357" s="5" t="s">
        <v>133</v>
      </c>
      <c r="L357" s="6" t="str">
        <f t="shared" si="49"/>
        <v>3T3</v>
      </c>
      <c r="M357" s="13" t="s">
        <v>1064</v>
      </c>
      <c r="N357" s="7" t="s">
        <v>3646</v>
      </c>
      <c r="O357" s="13" t="s">
        <v>1065</v>
      </c>
      <c r="P357" s="115" t="s">
        <v>1066</v>
      </c>
      <c r="Q357" s="8"/>
      <c r="R357" s="2">
        <v>1</v>
      </c>
      <c r="S357" s="9">
        <v>1500</v>
      </c>
      <c r="T357" s="10">
        <f t="shared" si="50"/>
        <v>750</v>
      </c>
      <c r="U357" s="9">
        <v>0</v>
      </c>
      <c r="V357" s="10">
        <f t="shared" si="51"/>
        <v>750</v>
      </c>
      <c r="W357" s="4" t="s">
        <v>122</v>
      </c>
      <c r="X357" s="2"/>
      <c r="Y357" s="11">
        <v>4</v>
      </c>
      <c r="Z357" s="12">
        <f t="shared" si="52"/>
        <v>0</v>
      </c>
      <c r="AA357" s="4" t="s">
        <v>259</v>
      </c>
      <c r="AC357" s="176">
        <f t="shared" si="53"/>
        <v>0</v>
      </c>
    </row>
    <row r="358" spans="1:29" customFormat="1">
      <c r="A358" s="181"/>
      <c r="B358" s="183">
        <f t="shared" si="54"/>
        <v>10</v>
      </c>
      <c r="C358" s="107" t="str">
        <f t="shared" si="55"/>
        <v>ATK</v>
      </c>
      <c r="D358" s="2" t="s">
        <v>1070</v>
      </c>
      <c r="E358" s="3">
        <v>43893</v>
      </c>
      <c r="F358" s="3">
        <v>43895</v>
      </c>
      <c r="G358" s="108">
        <f t="shared" si="56"/>
        <v>3</v>
      </c>
      <c r="H358" s="108" t="str">
        <f t="shared" si="57"/>
        <v>완료</v>
      </c>
      <c r="I358" s="112" t="s">
        <v>218</v>
      </c>
      <c r="J358" s="4" t="s">
        <v>127</v>
      </c>
      <c r="K358" s="5" t="s">
        <v>135</v>
      </c>
      <c r="L358" s="6" t="str">
        <f t="shared" si="49"/>
        <v>1T3</v>
      </c>
      <c r="M358" s="13" t="s">
        <v>256</v>
      </c>
      <c r="N358" s="7" t="s">
        <v>3506</v>
      </c>
      <c r="O358" s="13" t="s">
        <v>1069</v>
      </c>
      <c r="P358" s="115" t="s">
        <v>1068</v>
      </c>
      <c r="Q358" s="8" t="s">
        <v>1067</v>
      </c>
      <c r="R358" s="2">
        <v>1</v>
      </c>
      <c r="S358" s="9">
        <v>3500</v>
      </c>
      <c r="T358" s="10">
        <f t="shared" si="50"/>
        <v>1750</v>
      </c>
      <c r="U358" s="9"/>
      <c r="V358" s="10">
        <f t="shared" si="51"/>
        <v>1750</v>
      </c>
      <c r="W358" s="4" t="s">
        <v>122</v>
      </c>
      <c r="X358" s="2"/>
      <c r="Y358" s="11">
        <v>4</v>
      </c>
      <c r="Z358" s="12">
        <f t="shared" si="52"/>
        <v>2</v>
      </c>
      <c r="AA358" s="4" t="s">
        <v>259</v>
      </c>
      <c r="AC358" s="176">
        <f t="shared" si="53"/>
        <v>0</v>
      </c>
    </row>
    <row r="359" spans="1:29" customFormat="1">
      <c r="A359" s="181"/>
      <c r="B359" s="183">
        <f t="shared" si="54"/>
        <v>10</v>
      </c>
      <c r="C359" s="107" t="str">
        <f t="shared" si="55"/>
        <v>ATK</v>
      </c>
      <c r="D359" s="2" t="s">
        <v>704</v>
      </c>
      <c r="E359" s="3">
        <v>43895</v>
      </c>
      <c r="F359" s="3">
        <v>43895</v>
      </c>
      <c r="G359" s="108">
        <f t="shared" si="56"/>
        <v>3</v>
      </c>
      <c r="H359" s="108" t="str">
        <f t="shared" si="57"/>
        <v>완료</v>
      </c>
      <c r="I359" s="112" t="s">
        <v>218</v>
      </c>
      <c r="J359" s="4" t="s">
        <v>127</v>
      </c>
      <c r="K359" s="5" t="s">
        <v>131</v>
      </c>
      <c r="L359" s="6" t="str">
        <f t="shared" si="49"/>
        <v>1T4</v>
      </c>
      <c r="M359" s="13" t="s">
        <v>705</v>
      </c>
      <c r="N359" s="7" t="s">
        <v>3559</v>
      </c>
      <c r="O359" s="13" t="s">
        <v>1071</v>
      </c>
      <c r="P359" s="115" t="s">
        <v>1072</v>
      </c>
      <c r="Q359" s="8"/>
      <c r="R359" s="2">
        <v>2</v>
      </c>
      <c r="S359" s="9">
        <v>400</v>
      </c>
      <c r="T359" s="10">
        <f t="shared" si="50"/>
        <v>400</v>
      </c>
      <c r="U359" s="9">
        <v>1</v>
      </c>
      <c r="V359" s="10">
        <f t="shared" si="51"/>
        <v>399</v>
      </c>
      <c r="W359" s="4" t="s">
        <v>122</v>
      </c>
      <c r="X359" s="2"/>
      <c r="Y359" s="11">
        <v>8</v>
      </c>
      <c r="Z359" s="12">
        <f t="shared" si="52"/>
        <v>0</v>
      </c>
      <c r="AA359" s="4" t="s">
        <v>212</v>
      </c>
      <c r="AC359" s="176">
        <f t="shared" si="53"/>
        <v>9.0909090909090909E-4</v>
      </c>
    </row>
    <row r="360" spans="1:29" customFormat="1">
      <c r="A360" s="181"/>
      <c r="B360" s="183">
        <f t="shared" si="54"/>
        <v>10</v>
      </c>
      <c r="C360" s="107" t="str">
        <f t="shared" si="55"/>
        <v>ATK</v>
      </c>
      <c r="D360" s="2" t="s">
        <v>1073</v>
      </c>
      <c r="E360" s="3">
        <v>43895</v>
      </c>
      <c r="F360" s="3">
        <v>43896</v>
      </c>
      <c r="G360" s="108">
        <f t="shared" si="56"/>
        <v>3</v>
      </c>
      <c r="H360" s="108" t="str">
        <f t="shared" si="57"/>
        <v>완료</v>
      </c>
      <c r="I360" s="112" t="s">
        <v>218</v>
      </c>
      <c r="J360" s="4" t="s">
        <v>748</v>
      </c>
      <c r="K360" s="5" t="s">
        <v>851</v>
      </c>
      <c r="L360" s="6" t="str">
        <f t="shared" si="49"/>
        <v>6T1</v>
      </c>
      <c r="M360" s="13" t="s">
        <v>1074</v>
      </c>
      <c r="N360" s="7" t="s">
        <v>3647</v>
      </c>
      <c r="O360" s="7" t="s">
        <v>1075</v>
      </c>
      <c r="P360" s="115" t="s">
        <v>1076</v>
      </c>
      <c r="Q360" s="8"/>
      <c r="R360" s="2">
        <v>1</v>
      </c>
      <c r="S360" s="9">
        <v>2000</v>
      </c>
      <c r="T360" s="10">
        <f t="shared" si="50"/>
        <v>1000</v>
      </c>
      <c r="U360" s="9"/>
      <c r="V360" s="10">
        <f t="shared" si="51"/>
        <v>1000</v>
      </c>
      <c r="W360" s="4" t="s">
        <v>122</v>
      </c>
      <c r="X360" s="2"/>
      <c r="Y360" s="11">
        <v>8</v>
      </c>
      <c r="Z360" s="12">
        <f t="shared" si="52"/>
        <v>1</v>
      </c>
      <c r="AA360" s="4" t="s">
        <v>212</v>
      </c>
      <c r="AC360" s="176">
        <f t="shared" si="53"/>
        <v>0</v>
      </c>
    </row>
    <row r="361" spans="1:29" customFormat="1">
      <c r="A361" s="181"/>
      <c r="B361" s="183">
        <f t="shared" si="54"/>
        <v>10</v>
      </c>
      <c r="C361" s="107" t="str">
        <f t="shared" si="55"/>
        <v>ATK</v>
      </c>
      <c r="D361" s="2" t="s">
        <v>504</v>
      </c>
      <c r="E361" s="3">
        <v>43895</v>
      </c>
      <c r="F361" s="3">
        <v>43896</v>
      </c>
      <c r="G361" s="108">
        <f t="shared" si="56"/>
        <v>3</v>
      </c>
      <c r="H361" s="108" t="str">
        <f t="shared" si="57"/>
        <v>완료</v>
      </c>
      <c r="I361" s="112" t="s">
        <v>218</v>
      </c>
      <c r="J361" s="4" t="s">
        <v>281</v>
      </c>
      <c r="K361" s="5" t="s">
        <v>332</v>
      </c>
      <c r="L361" s="6" t="str">
        <f t="shared" si="49"/>
        <v>EE2</v>
      </c>
      <c r="M361" s="13" t="s">
        <v>256</v>
      </c>
      <c r="N361" s="7" t="s">
        <v>3529</v>
      </c>
      <c r="O361" s="13" t="s">
        <v>1077</v>
      </c>
      <c r="P361" s="115" t="s">
        <v>1078</v>
      </c>
      <c r="Q361" s="8"/>
      <c r="R361" s="2">
        <v>1</v>
      </c>
      <c r="S361" s="9">
        <v>2500</v>
      </c>
      <c r="T361" s="10">
        <f t="shared" si="50"/>
        <v>1250</v>
      </c>
      <c r="U361" s="9">
        <v>50</v>
      </c>
      <c r="V361" s="10">
        <f t="shared" si="51"/>
        <v>1200</v>
      </c>
      <c r="W361" s="4" t="s">
        <v>122</v>
      </c>
      <c r="X361" s="2"/>
      <c r="Y361" s="11">
        <v>5</v>
      </c>
      <c r="Z361" s="12">
        <f t="shared" si="52"/>
        <v>1</v>
      </c>
      <c r="AA361" s="4" t="s">
        <v>27</v>
      </c>
      <c r="AC361" s="176">
        <f t="shared" si="53"/>
        <v>4.5454545454545456E-2</v>
      </c>
    </row>
    <row r="362" spans="1:29" customFormat="1">
      <c r="A362" s="181"/>
      <c r="B362" s="183">
        <f t="shared" si="54"/>
        <v>13</v>
      </c>
      <c r="C362" s="107" t="str">
        <f t="shared" si="55"/>
        <v>ATK</v>
      </c>
      <c r="D362" s="2" t="s">
        <v>327</v>
      </c>
      <c r="E362" s="3">
        <v>43896</v>
      </c>
      <c r="F362" s="3">
        <v>43913</v>
      </c>
      <c r="G362" s="108">
        <f t="shared" si="56"/>
        <v>3</v>
      </c>
      <c r="H362" s="108" t="str">
        <f t="shared" si="57"/>
        <v>완료</v>
      </c>
      <c r="I362" s="112" t="s">
        <v>218</v>
      </c>
      <c r="J362" s="4" t="s">
        <v>281</v>
      </c>
      <c r="K362" s="5" t="s">
        <v>332</v>
      </c>
      <c r="L362" s="6" t="str">
        <f t="shared" si="49"/>
        <v>EE2</v>
      </c>
      <c r="M362" s="13" t="s">
        <v>813</v>
      </c>
      <c r="N362" s="7" t="s">
        <v>140</v>
      </c>
      <c r="O362" s="13" t="s">
        <v>1082</v>
      </c>
      <c r="P362" s="115" t="s">
        <v>300</v>
      </c>
      <c r="Q362" s="8"/>
      <c r="R362" s="2">
        <v>1</v>
      </c>
      <c r="S362" s="9">
        <v>2000</v>
      </c>
      <c r="T362" s="10">
        <f t="shared" si="50"/>
        <v>1000</v>
      </c>
      <c r="U362" s="9">
        <v>30</v>
      </c>
      <c r="V362" s="10">
        <f t="shared" si="51"/>
        <v>970</v>
      </c>
      <c r="W362" s="4" t="s">
        <v>122</v>
      </c>
      <c r="X362" s="2"/>
      <c r="Y362" s="11">
        <v>4</v>
      </c>
      <c r="Z362" s="12">
        <f t="shared" si="52"/>
        <v>17</v>
      </c>
      <c r="AA362" s="4" t="s">
        <v>27</v>
      </c>
      <c r="AC362" s="176">
        <f t="shared" si="53"/>
        <v>2.7272727272727271E-2</v>
      </c>
    </row>
    <row r="363" spans="1:29" customFormat="1">
      <c r="A363" s="181"/>
      <c r="B363" s="183">
        <f t="shared" si="54"/>
        <v>15</v>
      </c>
      <c r="C363" s="107" t="str">
        <f t="shared" si="55"/>
        <v>ATK</v>
      </c>
      <c r="D363" s="2" t="s">
        <v>1079</v>
      </c>
      <c r="E363" s="3">
        <v>43896</v>
      </c>
      <c r="F363" s="3">
        <v>43930</v>
      </c>
      <c r="G363" s="108">
        <f t="shared" si="56"/>
        <v>4</v>
      </c>
      <c r="H363" s="108" t="str">
        <f t="shared" si="57"/>
        <v>완료</v>
      </c>
      <c r="I363" s="112" t="s">
        <v>218</v>
      </c>
      <c r="J363" s="4" t="s">
        <v>281</v>
      </c>
      <c r="K363" s="5" t="s">
        <v>332</v>
      </c>
      <c r="L363" s="6" t="str">
        <f t="shared" si="49"/>
        <v>EE2</v>
      </c>
      <c r="M363" s="13" t="s">
        <v>226</v>
      </c>
      <c r="N363" s="7" t="s">
        <v>140</v>
      </c>
      <c r="O363" s="13" t="s">
        <v>1080</v>
      </c>
      <c r="P363" s="115" t="s">
        <v>1081</v>
      </c>
      <c r="Q363" s="8"/>
      <c r="R363" s="2">
        <v>1</v>
      </c>
      <c r="S363" s="9">
        <v>1000</v>
      </c>
      <c r="T363" s="10">
        <f t="shared" si="50"/>
        <v>500</v>
      </c>
      <c r="U363" s="9">
        <v>5</v>
      </c>
      <c r="V363" s="10">
        <f t="shared" si="51"/>
        <v>495</v>
      </c>
      <c r="W363" s="4" t="s">
        <v>122</v>
      </c>
      <c r="X363" s="2"/>
      <c r="Y363" s="11">
        <v>3</v>
      </c>
      <c r="Z363" s="12">
        <f t="shared" si="52"/>
        <v>34</v>
      </c>
      <c r="AA363" s="4" t="s">
        <v>27</v>
      </c>
      <c r="AC363" s="176">
        <f t="shared" si="53"/>
        <v>4.5454545454545452E-3</v>
      </c>
    </row>
    <row r="364" spans="1:29" customFormat="1">
      <c r="A364" s="181"/>
      <c r="B364" s="183">
        <f t="shared" si="54"/>
        <v>11</v>
      </c>
      <c r="C364" s="107" t="str">
        <f t="shared" si="55"/>
        <v>ATK</v>
      </c>
      <c r="D364" s="2" t="s">
        <v>620</v>
      </c>
      <c r="E364" s="3">
        <v>43896</v>
      </c>
      <c r="F364" s="3">
        <v>43899</v>
      </c>
      <c r="G364" s="108">
        <f t="shared" si="56"/>
        <v>3</v>
      </c>
      <c r="H364" s="108" t="str">
        <f t="shared" si="57"/>
        <v>완료</v>
      </c>
      <c r="I364" s="112" t="s">
        <v>218</v>
      </c>
      <c r="J364" s="4" t="s">
        <v>118</v>
      </c>
      <c r="K364" s="5" t="s">
        <v>119</v>
      </c>
      <c r="L364" s="6" t="str">
        <f t="shared" si="49"/>
        <v>2T3</v>
      </c>
      <c r="M364" s="203" t="s">
        <v>1707</v>
      </c>
      <c r="N364" s="7" t="s">
        <v>3561</v>
      </c>
      <c r="O364" s="13" t="s">
        <v>595</v>
      </c>
      <c r="P364" s="115" t="s">
        <v>596</v>
      </c>
      <c r="Q364" s="8" t="s">
        <v>1083</v>
      </c>
      <c r="R364" s="2">
        <v>1</v>
      </c>
      <c r="S364" s="9">
        <v>60</v>
      </c>
      <c r="T364" s="10">
        <f t="shared" si="50"/>
        <v>30</v>
      </c>
      <c r="U364" s="9">
        <v>2</v>
      </c>
      <c r="V364" s="10">
        <f t="shared" si="51"/>
        <v>28</v>
      </c>
      <c r="W364" s="4" t="s">
        <v>122</v>
      </c>
      <c r="X364" s="2"/>
      <c r="Y364" s="11">
        <v>3</v>
      </c>
      <c r="Z364" s="12">
        <f t="shared" si="52"/>
        <v>3</v>
      </c>
      <c r="AA364" s="4" t="s">
        <v>120</v>
      </c>
      <c r="AC364" s="176">
        <f t="shared" si="53"/>
        <v>1.8181818181818182E-3</v>
      </c>
    </row>
    <row r="365" spans="1:29" customFormat="1">
      <c r="A365" s="181"/>
      <c r="B365" s="183">
        <f t="shared" si="54"/>
        <v>11</v>
      </c>
      <c r="C365" s="107" t="str">
        <f t="shared" si="55"/>
        <v>ATK</v>
      </c>
      <c r="D365" s="2" t="s">
        <v>512</v>
      </c>
      <c r="E365" s="3">
        <v>43894</v>
      </c>
      <c r="F365" s="3">
        <v>43899</v>
      </c>
      <c r="G365" s="108">
        <f t="shared" si="56"/>
        <v>3</v>
      </c>
      <c r="H365" s="108" t="str">
        <f t="shared" si="57"/>
        <v>완료</v>
      </c>
      <c r="I365" s="112" t="s">
        <v>218</v>
      </c>
      <c r="J365" s="4" t="s">
        <v>481</v>
      </c>
      <c r="K365" s="5" t="s">
        <v>1053</v>
      </c>
      <c r="L365" s="6" t="str">
        <f t="shared" si="49"/>
        <v>2T2</v>
      </c>
      <c r="M365" s="13" t="s">
        <v>256</v>
      </c>
      <c r="N365" s="7" t="s">
        <v>3506</v>
      </c>
      <c r="O365" s="7" t="s">
        <v>362</v>
      </c>
      <c r="P365" s="115"/>
      <c r="Q365" s="8"/>
      <c r="R365" s="2">
        <v>1</v>
      </c>
      <c r="S365" s="9">
        <v>500</v>
      </c>
      <c r="T365" s="10">
        <f t="shared" si="50"/>
        <v>250</v>
      </c>
      <c r="U365" s="9">
        <v>200</v>
      </c>
      <c r="V365" s="10">
        <f t="shared" si="51"/>
        <v>50</v>
      </c>
      <c r="W365" s="4" t="s">
        <v>122</v>
      </c>
      <c r="X365" s="2"/>
      <c r="Y365" s="11">
        <v>1</v>
      </c>
      <c r="Z365" s="12">
        <f t="shared" si="52"/>
        <v>5</v>
      </c>
      <c r="AA365" s="4" t="s">
        <v>1084</v>
      </c>
      <c r="AC365" s="176">
        <f t="shared" si="53"/>
        <v>0.18181818181818182</v>
      </c>
    </row>
    <row r="366" spans="1:29" customFormat="1">
      <c r="A366" s="181"/>
      <c r="B366" s="183">
        <f t="shared" si="54"/>
        <v>11</v>
      </c>
      <c r="C366" s="107" t="str">
        <f t="shared" si="55"/>
        <v>ATK</v>
      </c>
      <c r="D366" s="2" t="s">
        <v>1085</v>
      </c>
      <c r="E366" s="3">
        <v>43899</v>
      </c>
      <c r="F366" s="3">
        <v>43899</v>
      </c>
      <c r="G366" s="108">
        <f t="shared" si="56"/>
        <v>3</v>
      </c>
      <c r="H366" s="108" t="str">
        <f t="shared" si="57"/>
        <v>완료</v>
      </c>
      <c r="I366" s="112" t="s">
        <v>218</v>
      </c>
      <c r="J366" s="4" t="s">
        <v>121</v>
      </c>
      <c r="K366" s="5" t="s">
        <v>136</v>
      </c>
      <c r="L366" s="6" t="str">
        <f t="shared" si="49"/>
        <v>5T1</v>
      </c>
      <c r="M366" s="13" t="s">
        <v>813</v>
      </c>
      <c r="N366" s="7" t="s">
        <v>3648</v>
      </c>
      <c r="O366" s="13" t="s">
        <v>1086</v>
      </c>
      <c r="P366" s="115" t="s">
        <v>1087</v>
      </c>
      <c r="Q366" s="8" t="s">
        <v>1088</v>
      </c>
      <c r="R366" s="2">
        <v>1</v>
      </c>
      <c r="S366" s="9">
        <v>4000</v>
      </c>
      <c r="T366" s="10">
        <f t="shared" si="50"/>
        <v>2000</v>
      </c>
      <c r="U366" s="9">
        <v>0</v>
      </c>
      <c r="V366" s="10">
        <f t="shared" si="51"/>
        <v>2000</v>
      </c>
      <c r="W366" s="4" t="s">
        <v>122</v>
      </c>
      <c r="X366" s="2"/>
      <c r="Y366" s="11">
        <v>3</v>
      </c>
      <c r="Z366" s="12">
        <f t="shared" si="52"/>
        <v>0</v>
      </c>
      <c r="AA366" s="4" t="s">
        <v>120</v>
      </c>
      <c r="AC366" s="176">
        <f t="shared" si="53"/>
        <v>0</v>
      </c>
    </row>
    <row r="367" spans="1:29" customFormat="1">
      <c r="A367" s="181"/>
      <c r="B367" s="183">
        <f t="shared" si="54"/>
        <v>11</v>
      </c>
      <c r="C367" s="107" t="str">
        <f t="shared" si="55"/>
        <v>ATK</v>
      </c>
      <c r="D367" s="2" t="s">
        <v>1096</v>
      </c>
      <c r="E367" s="3">
        <v>43894</v>
      </c>
      <c r="F367" s="3">
        <v>43899</v>
      </c>
      <c r="G367" s="108">
        <f t="shared" si="56"/>
        <v>3</v>
      </c>
      <c r="H367" s="108" t="str">
        <f t="shared" si="57"/>
        <v>Other</v>
      </c>
      <c r="I367" s="112" t="s">
        <v>1089</v>
      </c>
      <c r="J367" s="4" t="s">
        <v>1090</v>
      </c>
      <c r="K367" s="5" t="s">
        <v>1091</v>
      </c>
      <c r="L367" s="6" t="str">
        <f t="shared" si="49"/>
        <v>5T2</v>
      </c>
      <c r="M367" s="13" t="s">
        <v>1092</v>
      </c>
      <c r="N367" s="7"/>
      <c r="O367" s="13" t="s">
        <v>1092</v>
      </c>
      <c r="P367" s="115" t="s">
        <v>1093</v>
      </c>
      <c r="Q367" s="8"/>
      <c r="R367" s="2">
        <v>1</v>
      </c>
      <c r="S367" s="9">
        <v>500</v>
      </c>
      <c r="T367" s="10">
        <f t="shared" si="50"/>
        <v>250</v>
      </c>
      <c r="U367" s="9">
        <v>0</v>
      </c>
      <c r="V367" s="10">
        <f t="shared" si="51"/>
        <v>250</v>
      </c>
      <c r="W367" s="4" t="s">
        <v>1094</v>
      </c>
      <c r="X367" s="2"/>
      <c r="Y367" s="11">
        <v>1</v>
      </c>
      <c r="Z367" s="12">
        <f t="shared" si="52"/>
        <v>5</v>
      </c>
      <c r="AA367" s="4" t="s">
        <v>1095</v>
      </c>
      <c r="AC367" s="176">
        <f t="shared" si="53"/>
        <v>0</v>
      </c>
    </row>
    <row r="368" spans="1:29" customFormat="1">
      <c r="A368" s="181"/>
      <c r="B368" s="183">
        <f t="shared" si="54"/>
        <v>11</v>
      </c>
      <c r="C368" s="107" t="str">
        <f t="shared" si="55"/>
        <v>ATK</v>
      </c>
      <c r="D368" s="2" t="s">
        <v>520</v>
      </c>
      <c r="E368" s="3">
        <v>43899</v>
      </c>
      <c r="F368" s="3">
        <v>43899</v>
      </c>
      <c r="G368" s="108">
        <f t="shared" si="56"/>
        <v>3</v>
      </c>
      <c r="H368" s="108" t="str">
        <f t="shared" si="57"/>
        <v>완료</v>
      </c>
      <c r="I368" s="112" t="s">
        <v>218</v>
      </c>
      <c r="J368" s="4" t="s">
        <v>1097</v>
      </c>
      <c r="K368" s="5" t="s">
        <v>1098</v>
      </c>
      <c r="L368" s="6" t="str">
        <f t="shared" si="49"/>
        <v>5T2</v>
      </c>
      <c r="M368" s="13" t="s">
        <v>147</v>
      </c>
      <c r="N368" s="7" t="s">
        <v>197</v>
      </c>
      <c r="O368" s="13" t="s">
        <v>147</v>
      </c>
      <c r="P368" s="115" t="s">
        <v>198</v>
      </c>
      <c r="Q368" s="8"/>
      <c r="R368" s="2">
        <v>1</v>
      </c>
      <c r="S368" s="9">
        <v>710</v>
      </c>
      <c r="T368" s="10">
        <f t="shared" si="50"/>
        <v>355</v>
      </c>
      <c r="U368" s="9">
        <v>20</v>
      </c>
      <c r="V368" s="10">
        <f t="shared" si="51"/>
        <v>335</v>
      </c>
      <c r="W368" s="4" t="s">
        <v>122</v>
      </c>
      <c r="X368" s="2"/>
      <c r="Y368" s="11">
        <v>2</v>
      </c>
      <c r="Z368" s="12">
        <f t="shared" si="52"/>
        <v>0</v>
      </c>
      <c r="AA368" s="4" t="s">
        <v>174</v>
      </c>
      <c r="AC368" s="176">
        <f t="shared" si="53"/>
        <v>1.8181818181818181E-2</v>
      </c>
    </row>
    <row r="369" spans="1:29" customFormat="1">
      <c r="A369" s="181"/>
      <c r="B369" s="183">
        <f t="shared" si="54"/>
        <v>11</v>
      </c>
      <c r="C369" s="107" t="str">
        <f t="shared" si="55"/>
        <v>ATK</v>
      </c>
      <c r="D369" s="2" t="s">
        <v>221</v>
      </c>
      <c r="E369" s="3">
        <v>43895</v>
      </c>
      <c r="F369" s="3">
        <v>43899</v>
      </c>
      <c r="G369" s="108">
        <f t="shared" si="56"/>
        <v>3</v>
      </c>
      <c r="H369" s="108" t="str">
        <f t="shared" si="57"/>
        <v>완료</v>
      </c>
      <c r="I369" s="112" t="s">
        <v>1099</v>
      </c>
      <c r="J369" s="4" t="s">
        <v>1100</v>
      </c>
      <c r="K369" s="5" t="s">
        <v>1101</v>
      </c>
      <c r="L369" s="6" t="str">
        <f t="shared" si="49"/>
        <v>6T1</v>
      </c>
      <c r="M369" s="13" t="s">
        <v>1102</v>
      </c>
      <c r="N369" s="7" t="s">
        <v>3649</v>
      </c>
      <c r="O369" s="13" t="s">
        <v>339</v>
      </c>
      <c r="P369" s="115" t="s">
        <v>325</v>
      </c>
      <c r="Q369" s="8"/>
      <c r="R369" s="2">
        <v>1</v>
      </c>
      <c r="S369" s="9">
        <v>2500</v>
      </c>
      <c r="T369" s="10">
        <f t="shared" si="50"/>
        <v>1250</v>
      </c>
      <c r="U369" s="9">
        <v>200</v>
      </c>
      <c r="V369" s="10">
        <f t="shared" si="51"/>
        <v>1050</v>
      </c>
      <c r="W369" s="4" t="s">
        <v>1103</v>
      </c>
      <c r="X369" s="2"/>
      <c r="Y369" s="11">
        <v>3</v>
      </c>
      <c r="Z369" s="12">
        <f t="shared" si="52"/>
        <v>4</v>
      </c>
      <c r="AA369" s="4" t="s">
        <v>1104</v>
      </c>
      <c r="AC369" s="176">
        <f t="shared" si="53"/>
        <v>0.18181818181818182</v>
      </c>
    </row>
    <row r="370" spans="1:29" customFormat="1">
      <c r="A370" s="181"/>
      <c r="B370" s="183">
        <f t="shared" si="54"/>
        <v>11</v>
      </c>
      <c r="C370" s="107" t="str">
        <f t="shared" si="55"/>
        <v>ATK</v>
      </c>
      <c r="D370" s="2" t="s">
        <v>1105</v>
      </c>
      <c r="E370" s="3">
        <v>43900</v>
      </c>
      <c r="F370" s="3">
        <v>43900</v>
      </c>
      <c r="G370" s="108">
        <f t="shared" si="56"/>
        <v>3</v>
      </c>
      <c r="H370" s="108" t="str">
        <f t="shared" si="57"/>
        <v>완료</v>
      </c>
      <c r="I370" s="112" t="s">
        <v>264</v>
      </c>
      <c r="J370" s="4" t="s">
        <v>1106</v>
      </c>
      <c r="K370" s="5" t="s">
        <v>833</v>
      </c>
      <c r="L370" s="6" t="str">
        <f t="shared" si="49"/>
        <v>1T3</v>
      </c>
      <c r="M370" s="13" t="s">
        <v>1015</v>
      </c>
      <c r="N370" s="7" t="s">
        <v>3650</v>
      </c>
      <c r="O370" s="13" t="s">
        <v>1107</v>
      </c>
      <c r="P370" s="115" t="s">
        <v>1108</v>
      </c>
      <c r="Q370" s="8"/>
      <c r="R370" s="2">
        <v>1</v>
      </c>
      <c r="S370" s="9">
        <v>400</v>
      </c>
      <c r="T370" s="10">
        <f t="shared" si="50"/>
        <v>200</v>
      </c>
      <c r="U370" s="9">
        <v>15</v>
      </c>
      <c r="V370" s="10">
        <f t="shared" si="51"/>
        <v>185</v>
      </c>
      <c r="W370" s="4" t="s">
        <v>1110</v>
      </c>
      <c r="X370" s="2"/>
      <c r="Y370" s="11">
        <v>3</v>
      </c>
      <c r="Z370" s="12">
        <f t="shared" si="52"/>
        <v>0</v>
      </c>
      <c r="AA370" s="4" t="s">
        <v>1109</v>
      </c>
      <c r="AC370" s="176">
        <f t="shared" si="53"/>
        <v>1.3636363636363636E-2</v>
      </c>
    </row>
    <row r="371" spans="1:29" customFormat="1">
      <c r="A371" s="181"/>
      <c r="B371" s="183">
        <f t="shared" si="54"/>
        <v>11</v>
      </c>
      <c r="C371" s="107" t="str">
        <f t="shared" si="55"/>
        <v>ATK</v>
      </c>
      <c r="D371" s="2" t="s">
        <v>463</v>
      </c>
      <c r="E371" s="3">
        <v>43899</v>
      </c>
      <c r="F371" s="3">
        <v>43900</v>
      </c>
      <c r="G371" s="108">
        <f t="shared" si="56"/>
        <v>3</v>
      </c>
      <c r="H371" s="108" t="str">
        <f t="shared" si="57"/>
        <v>완료</v>
      </c>
      <c r="I371" s="112" t="s">
        <v>1099</v>
      </c>
      <c r="J371" s="4" t="s">
        <v>1111</v>
      </c>
      <c r="K371" s="5" t="s">
        <v>136</v>
      </c>
      <c r="L371" s="6" t="str">
        <f t="shared" si="49"/>
        <v>5T1</v>
      </c>
      <c r="M371" s="13" t="s">
        <v>1015</v>
      </c>
      <c r="N371" s="7" t="s">
        <v>3651</v>
      </c>
      <c r="O371" s="13" t="s">
        <v>207</v>
      </c>
      <c r="P371" s="115" t="s">
        <v>654</v>
      </c>
      <c r="Q371" s="8"/>
      <c r="R371" s="2">
        <v>1</v>
      </c>
      <c r="S371" s="9">
        <v>800</v>
      </c>
      <c r="T371" s="10">
        <f t="shared" si="50"/>
        <v>400</v>
      </c>
      <c r="U371" s="9">
        <v>25</v>
      </c>
      <c r="V371" s="10">
        <f t="shared" si="51"/>
        <v>375</v>
      </c>
      <c r="W371" s="4" t="s">
        <v>122</v>
      </c>
      <c r="X371" s="2"/>
      <c r="Y371" s="11">
        <v>3</v>
      </c>
      <c r="Z371" s="12">
        <f t="shared" si="52"/>
        <v>1</v>
      </c>
      <c r="AA371" s="4" t="s">
        <v>1112</v>
      </c>
      <c r="AC371" s="176">
        <f t="shared" si="53"/>
        <v>2.2727272727272728E-2</v>
      </c>
    </row>
    <row r="372" spans="1:29" customFormat="1">
      <c r="A372" s="181"/>
      <c r="B372" s="183">
        <f t="shared" si="54"/>
        <v>11</v>
      </c>
      <c r="C372" s="107" t="str">
        <f t="shared" si="55"/>
        <v>ATK</v>
      </c>
      <c r="D372" s="2" t="s">
        <v>255</v>
      </c>
      <c r="E372" s="3">
        <v>43899</v>
      </c>
      <c r="F372" s="3">
        <v>43900</v>
      </c>
      <c r="G372" s="108">
        <f t="shared" si="56"/>
        <v>3</v>
      </c>
      <c r="H372" s="108" t="str">
        <f t="shared" si="57"/>
        <v>완료</v>
      </c>
      <c r="I372" s="112" t="s">
        <v>264</v>
      </c>
      <c r="J372" s="4" t="s">
        <v>808</v>
      </c>
      <c r="K372" s="5" t="s">
        <v>833</v>
      </c>
      <c r="L372" s="6" t="str">
        <f t="shared" si="49"/>
        <v>1T3</v>
      </c>
      <c r="M372" s="13" t="s">
        <v>256</v>
      </c>
      <c r="N372" s="7" t="s">
        <v>3594</v>
      </c>
      <c r="O372" s="13" t="s">
        <v>333</v>
      </c>
      <c r="P372" s="115" t="s">
        <v>1114</v>
      </c>
      <c r="Q372" s="8" t="s">
        <v>1113</v>
      </c>
      <c r="R372" s="2">
        <v>1</v>
      </c>
      <c r="S372" s="9">
        <v>3500</v>
      </c>
      <c r="T372" s="10">
        <f t="shared" si="50"/>
        <v>1750</v>
      </c>
      <c r="U372" s="9">
        <v>50</v>
      </c>
      <c r="V372" s="10">
        <f t="shared" si="51"/>
        <v>1700</v>
      </c>
      <c r="W372" s="4" t="s">
        <v>122</v>
      </c>
      <c r="X372" s="2"/>
      <c r="Y372" s="11">
        <v>4</v>
      </c>
      <c r="Z372" s="12">
        <f t="shared" si="52"/>
        <v>1</v>
      </c>
      <c r="AA372" s="4" t="s">
        <v>27</v>
      </c>
      <c r="AC372" s="176">
        <f t="shared" si="53"/>
        <v>4.5454545454545456E-2</v>
      </c>
    </row>
    <row r="373" spans="1:29" customFormat="1">
      <c r="A373" s="181"/>
      <c r="B373" s="183">
        <f t="shared" si="54"/>
        <v>17</v>
      </c>
      <c r="C373" s="107" t="str">
        <f t="shared" si="55"/>
        <v>ATK</v>
      </c>
      <c r="D373" s="2" t="s">
        <v>1116</v>
      </c>
      <c r="E373" s="3">
        <v>43900</v>
      </c>
      <c r="F373" s="3">
        <v>43941</v>
      </c>
      <c r="G373" s="108">
        <f t="shared" si="56"/>
        <v>4</v>
      </c>
      <c r="H373" s="108" t="str">
        <f t="shared" si="57"/>
        <v>수리불가</v>
      </c>
      <c r="I373" s="112" t="s">
        <v>601</v>
      </c>
      <c r="J373" s="4" t="s">
        <v>281</v>
      </c>
      <c r="K373" s="5" t="s">
        <v>332</v>
      </c>
      <c r="L373" s="6" t="str">
        <f t="shared" si="49"/>
        <v>EE2</v>
      </c>
      <c r="M373" s="13" t="s">
        <v>226</v>
      </c>
      <c r="N373" s="7" t="s">
        <v>3652</v>
      </c>
      <c r="O373" s="13" t="s">
        <v>1115</v>
      </c>
      <c r="P373" s="115"/>
      <c r="Q373" s="8"/>
      <c r="R373" s="2">
        <v>1</v>
      </c>
      <c r="S373" s="9">
        <v>9000</v>
      </c>
      <c r="T373" s="10">
        <f t="shared" si="50"/>
        <v>4500</v>
      </c>
      <c r="U373" s="9"/>
      <c r="V373" s="10">
        <f t="shared" si="51"/>
        <v>4500</v>
      </c>
      <c r="W373" s="4" t="s">
        <v>122</v>
      </c>
      <c r="X373" s="2"/>
      <c r="Y373" s="11">
        <v>4</v>
      </c>
      <c r="Z373" s="12">
        <f t="shared" si="52"/>
        <v>41</v>
      </c>
      <c r="AA373" s="4" t="s">
        <v>27</v>
      </c>
      <c r="AC373" s="176">
        <f t="shared" si="53"/>
        <v>0</v>
      </c>
    </row>
    <row r="374" spans="1:29" customFormat="1">
      <c r="A374" s="181"/>
      <c r="B374" s="183">
        <f t="shared" si="54"/>
        <v>11</v>
      </c>
      <c r="C374" s="107" t="str">
        <f t="shared" si="55"/>
        <v>ATK</v>
      </c>
      <c r="D374" s="2" t="s">
        <v>1117</v>
      </c>
      <c r="E374" s="3">
        <v>43900</v>
      </c>
      <c r="F374" s="3">
        <v>43901</v>
      </c>
      <c r="G374" s="108">
        <f t="shared" si="56"/>
        <v>3</v>
      </c>
      <c r="H374" s="108" t="str">
        <f t="shared" si="57"/>
        <v>완료</v>
      </c>
      <c r="I374" s="112" t="s">
        <v>218</v>
      </c>
      <c r="J374" s="4" t="s">
        <v>127</v>
      </c>
      <c r="K374" s="5" t="s">
        <v>131</v>
      </c>
      <c r="L374" s="6" t="str">
        <f t="shared" si="49"/>
        <v>1T4</v>
      </c>
      <c r="M374" s="13" t="s">
        <v>994</v>
      </c>
      <c r="N374" s="7" t="s">
        <v>3546</v>
      </c>
      <c r="O374" s="13" t="s">
        <v>1032</v>
      </c>
      <c r="P374" s="115"/>
      <c r="Q374" s="8"/>
      <c r="R374" s="2">
        <v>1</v>
      </c>
      <c r="S374" s="9">
        <v>400</v>
      </c>
      <c r="T374" s="10">
        <f t="shared" si="50"/>
        <v>200</v>
      </c>
      <c r="U374" s="9">
        <v>6</v>
      </c>
      <c r="V374" s="10">
        <f t="shared" si="51"/>
        <v>194</v>
      </c>
      <c r="W374" s="4" t="s">
        <v>122</v>
      </c>
      <c r="X374" s="2"/>
      <c r="Y374" s="11">
        <v>1</v>
      </c>
      <c r="Z374" s="12">
        <f t="shared" si="52"/>
        <v>1</v>
      </c>
      <c r="AA374" s="4" t="s">
        <v>117</v>
      </c>
      <c r="AC374" s="176">
        <f t="shared" si="53"/>
        <v>5.454545454545455E-3</v>
      </c>
    </row>
    <row r="375" spans="1:29" customFormat="1">
      <c r="A375" s="181"/>
      <c r="B375" s="183">
        <f t="shared" si="54"/>
        <v>11</v>
      </c>
      <c r="C375" s="107" t="str">
        <f t="shared" si="55"/>
        <v>ATK</v>
      </c>
      <c r="D375" s="2" t="s">
        <v>312</v>
      </c>
      <c r="E375" s="3">
        <v>43900</v>
      </c>
      <c r="F375" s="3">
        <v>43900</v>
      </c>
      <c r="G375" s="108">
        <f t="shared" si="56"/>
        <v>3</v>
      </c>
      <c r="H375" s="108" t="str">
        <f t="shared" si="57"/>
        <v>완료</v>
      </c>
      <c r="I375" s="112" t="s">
        <v>218</v>
      </c>
      <c r="J375" s="4" t="s">
        <v>118</v>
      </c>
      <c r="K375" s="5" t="s">
        <v>137</v>
      </c>
      <c r="L375" s="6" t="str">
        <f t="shared" si="49"/>
        <v>2T2</v>
      </c>
      <c r="M375" s="13" t="s">
        <v>256</v>
      </c>
      <c r="N375" s="7" t="s">
        <v>3624</v>
      </c>
      <c r="O375" s="13" t="s">
        <v>1119</v>
      </c>
      <c r="P375" s="115"/>
      <c r="Q375" s="8" t="s">
        <v>1118</v>
      </c>
      <c r="R375" s="2">
        <v>1</v>
      </c>
      <c r="S375" s="9">
        <v>1200</v>
      </c>
      <c r="T375" s="10">
        <f t="shared" si="50"/>
        <v>600</v>
      </c>
      <c r="U375" s="9">
        <v>1</v>
      </c>
      <c r="V375" s="10">
        <f t="shared" si="51"/>
        <v>599</v>
      </c>
      <c r="W375" s="4" t="s">
        <v>122</v>
      </c>
      <c r="X375" s="2"/>
      <c r="Y375" s="11">
        <v>1</v>
      </c>
      <c r="Z375" s="12">
        <f t="shared" si="52"/>
        <v>0</v>
      </c>
      <c r="AA375" s="4" t="s">
        <v>117</v>
      </c>
      <c r="AC375" s="176">
        <f t="shared" si="53"/>
        <v>9.0909090909090909E-4</v>
      </c>
    </row>
    <row r="376" spans="1:29" customFormat="1">
      <c r="A376" s="181"/>
      <c r="B376" s="183">
        <f t="shared" si="54"/>
        <v>11</v>
      </c>
      <c r="C376" s="107" t="str">
        <f t="shared" si="55"/>
        <v>ATK</v>
      </c>
      <c r="D376" s="2" t="s">
        <v>222</v>
      </c>
      <c r="E376" s="3">
        <v>43900</v>
      </c>
      <c r="F376" s="3">
        <v>43900</v>
      </c>
      <c r="G376" s="108">
        <f t="shared" si="56"/>
        <v>3</v>
      </c>
      <c r="H376" s="108" t="str">
        <f t="shared" si="57"/>
        <v>완료</v>
      </c>
      <c r="I376" s="112" t="s">
        <v>218</v>
      </c>
      <c r="J376" s="4" t="s">
        <v>132</v>
      </c>
      <c r="K376" s="5" t="s">
        <v>133</v>
      </c>
      <c r="L376" s="6" t="str">
        <f t="shared" si="49"/>
        <v>3T3</v>
      </c>
      <c r="M376" s="13" t="s">
        <v>1120</v>
      </c>
      <c r="N376" s="7" t="s">
        <v>3653</v>
      </c>
      <c r="O376" s="13" t="s">
        <v>1121</v>
      </c>
      <c r="P376" s="115" t="s">
        <v>330</v>
      </c>
      <c r="Q376" s="8"/>
      <c r="R376" s="2">
        <v>1</v>
      </c>
      <c r="S376" s="9">
        <v>1000</v>
      </c>
      <c r="T376" s="10">
        <f t="shared" si="50"/>
        <v>500</v>
      </c>
      <c r="U376" s="9">
        <v>10</v>
      </c>
      <c r="V376" s="10">
        <f t="shared" si="51"/>
        <v>490</v>
      </c>
      <c r="W376" s="4" t="s">
        <v>122</v>
      </c>
      <c r="X376" s="2"/>
      <c r="Y376" s="11">
        <v>2</v>
      </c>
      <c r="Z376" s="12">
        <f t="shared" si="52"/>
        <v>0</v>
      </c>
      <c r="AA376" s="4" t="s">
        <v>27</v>
      </c>
      <c r="AC376" s="176">
        <f t="shared" si="53"/>
        <v>9.0909090909090905E-3</v>
      </c>
    </row>
    <row r="377" spans="1:29" customFormat="1">
      <c r="A377" s="181"/>
      <c r="B377" s="183">
        <f t="shared" si="54"/>
        <v>11</v>
      </c>
      <c r="C377" s="107" t="str">
        <f t="shared" si="55"/>
        <v>ATK</v>
      </c>
      <c r="D377" s="2" t="s">
        <v>222</v>
      </c>
      <c r="E377" s="3">
        <v>43900</v>
      </c>
      <c r="F377" s="3">
        <v>43900</v>
      </c>
      <c r="G377" s="108">
        <f t="shared" si="56"/>
        <v>3</v>
      </c>
      <c r="H377" s="108" t="str">
        <f t="shared" si="57"/>
        <v>완료</v>
      </c>
      <c r="I377" s="112" t="s">
        <v>218</v>
      </c>
      <c r="J377" s="4" t="s">
        <v>132</v>
      </c>
      <c r="K377" s="5" t="s">
        <v>133</v>
      </c>
      <c r="L377" s="6" t="str">
        <f t="shared" si="49"/>
        <v>3T3</v>
      </c>
      <c r="M377" s="13" t="s">
        <v>1120</v>
      </c>
      <c r="N377" s="7" t="s">
        <v>3653</v>
      </c>
      <c r="O377" s="13" t="s">
        <v>1122</v>
      </c>
      <c r="P377" s="115"/>
      <c r="Q377" s="8"/>
      <c r="R377" s="2">
        <v>1</v>
      </c>
      <c r="S377" s="9">
        <v>100</v>
      </c>
      <c r="T377" s="10">
        <f t="shared" si="50"/>
        <v>50</v>
      </c>
      <c r="U377" s="9">
        <v>5</v>
      </c>
      <c r="V377" s="10">
        <f t="shared" si="51"/>
        <v>45</v>
      </c>
      <c r="W377" s="4" t="s">
        <v>122</v>
      </c>
      <c r="X377" s="2"/>
      <c r="Y377" s="11">
        <v>1</v>
      </c>
      <c r="Z377" s="12">
        <f t="shared" si="52"/>
        <v>0</v>
      </c>
      <c r="AA377" s="4" t="s">
        <v>27</v>
      </c>
      <c r="AC377" s="176">
        <f t="shared" si="53"/>
        <v>4.5454545454545452E-3</v>
      </c>
    </row>
    <row r="378" spans="1:29" customFormat="1">
      <c r="A378" s="181"/>
      <c r="B378" s="183">
        <f t="shared" si="54"/>
        <v>11</v>
      </c>
      <c r="C378" s="107" t="str">
        <f t="shared" si="55"/>
        <v>ATK</v>
      </c>
      <c r="D378" s="2" t="s">
        <v>302</v>
      </c>
      <c r="E378" s="3">
        <v>43900</v>
      </c>
      <c r="F378" s="3">
        <v>43900</v>
      </c>
      <c r="G378" s="108">
        <f t="shared" si="56"/>
        <v>3</v>
      </c>
      <c r="H378" s="108" t="str">
        <f t="shared" si="57"/>
        <v>완료</v>
      </c>
      <c r="I378" s="112" t="s">
        <v>218</v>
      </c>
      <c r="J378" s="4" t="s">
        <v>173</v>
      </c>
      <c r="K378" s="5" t="s">
        <v>128</v>
      </c>
      <c r="L378" s="6" t="str">
        <f t="shared" si="49"/>
        <v>1T1</v>
      </c>
      <c r="M378" s="13" t="s">
        <v>1123</v>
      </c>
      <c r="N378" s="7" t="s">
        <v>3654</v>
      </c>
      <c r="O378" s="13" t="s">
        <v>1124</v>
      </c>
      <c r="P378" s="115" t="s">
        <v>1125</v>
      </c>
      <c r="Q378" s="8"/>
      <c r="R378" s="2">
        <v>1</v>
      </c>
      <c r="S378" s="9">
        <v>720</v>
      </c>
      <c r="T378" s="10">
        <f t="shared" si="50"/>
        <v>360</v>
      </c>
      <c r="U378" s="9">
        <v>0</v>
      </c>
      <c r="V378" s="10">
        <f t="shared" si="51"/>
        <v>360</v>
      </c>
      <c r="W378" s="4" t="s">
        <v>122</v>
      </c>
      <c r="X378" s="2"/>
      <c r="Y378" s="11">
        <v>3</v>
      </c>
      <c r="Z378" s="12">
        <f t="shared" si="52"/>
        <v>0</v>
      </c>
      <c r="AA378" s="4" t="s">
        <v>120</v>
      </c>
      <c r="AC378" s="176">
        <f t="shared" si="53"/>
        <v>0</v>
      </c>
    </row>
    <row r="379" spans="1:29" customFormat="1">
      <c r="A379" s="181"/>
      <c r="B379" s="183">
        <f t="shared" si="54"/>
        <v>11</v>
      </c>
      <c r="C379" s="107" t="str">
        <f t="shared" si="55"/>
        <v>ATK</v>
      </c>
      <c r="D379" s="2" t="s">
        <v>1126</v>
      </c>
      <c r="E379" s="3">
        <v>43900</v>
      </c>
      <c r="F379" s="3">
        <v>43900</v>
      </c>
      <c r="G379" s="108">
        <f t="shared" si="56"/>
        <v>3</v>
      </c>
      <c r="H379" s="108" t="str">
        <f t="shared" si="57"/>
        <v>완료</v>
      </c>
      <c r="I379" s="112" t="s">
        <v>218</v>
      </c>
      <c r="J379" s="4" t="s">
        <v>139</v>
      </c>
      <c r="K379" s="5" t="s">
        <v>209</v>
      </c>
      <c r="L379" s="6" t="str">
        <f t="shared" si="49"/>
        <v>1T2</v>
      </c>
      <c r="M379" s="13" t="s">
        <v>1127</v>
      </c>
      <c r="N379" s="7" t="s">
        <v>3655</v>
      </c>
      <c r="O379" s="13" t="s">
        <v>1128</v>
      </c>
      <c r="P379" s="115" t="s">
        <v>1129</v>
      </c>
      <c r="Q379" s="8"/>
      <c r="R379" s="2">
        <v>1</v>
      </c>
      <c r="S379" s="9">
        <v>900</v>
      </c>
      <c r="T379" s="10">
        <f t="shared" si="50"/>
        <v>450</v>
      </c>
      <c r="U379" s="9">
        <v>5</v>
      </c>
      <c r="V379" s="10">
        <f t="shared" si="51"/>
        <v>445</v>
      </c>
      <c r="W379" s="4" t="s">
        <v>122</v>
      </c>
      <c r="X379" s="2"/>
      <c r="Y379" s="11">
        <v>1</v>
      </c>
      <c r="Z379" s="12">
        <f t="shared" si="52"/>
        <v>0</v>
      </c>
      <c r="AA379" s="4" t="s">
        <v>117</v>
      </c>
      <c r="AC379" s="176">
        <f t="shared" si="53"/>
        <v>4.5454545454545452E-3</v>
      </c>
    </row>
    <row r="380" spans="1:29" customFormat="1">
      <c r="A380" s="181"/>
      <c r="B380" s="183">
        <f t="shared" si="54"/>
        <v>11</v>
      </c>
      <c r="C380" s="107" t="str">
        <f t="shared" si="55"/>
        <v>ATK</v>
      </c>
      <c r="D380" s="2" t="s">
        <v>255</v>
      </c>
      <c r="E380" s="3">
        <v>43900</v>
      </c>
      <c r="F380" s="3">
        <v>43900</v>
      </c>
      <c r="G380" s="108">
        <f t="shared" si="56"/>
        <v>3</v>
      </c>
      <c r="H380" s="108" t="str">
        <f t="shared" si="57"/>
        <v>Other</v>
      </c>
      <c r="I380" s="112" t="s">
        <v>660</v>
      </c>
      <c r="J380" s="4" t="s">
        <v>808</v>
      </c>
      <c r="K380" s="5" t="s">
        <v>833</v>
      </c>
      <c r="L380" s="6" t="str">
        <f t="shared" si="49"/>
        <v>1T3</v>
      </c>
      <c r="M380" s="13" t="s">
        <v>1015</v>
      </c>
      <c r="N380" s="7" t="s">
        <v>3650</v>
      </c>
      <c r="O380" s="13" t="s">
        <v>207</v>
      </c>
      <c r="P380" s="115" t="s">
        <v>654</v>
      </c>
      <c r="Q380" s="8"/>
      <c r="R380" s="2">
        <v>1</v>
      </c>
      <c r="S380" s="9">
        <v>400</v>
      </c>
      <c r="T380" s="10">
        <f t="shared" si="50"/>
        <v>200</v>
      </c>
      <c r="U380" s="9">
        <v>0</v>
      </c>
      <c r="V380" s="10">
        <f t="shared" si="51"/>
        <v>200</v>
      </c>
      <c r="W380" s="4" t="s">
        <v>249</v>
      </c>
      <c r="X380" s="2"/>
      <c r="Y380" s="11">
        <v>1</v>
      </c>
      <c r="Z380" s="12">
        <f t="shared" si="52"/>
        <v>0</v>
      </c>
      <c r="AA380" s="4" t="s">
        <v>174</v>
      </c>
      <c r="AC380" s="176">
        <f t="shared" si="53"/>
        <v>0</v>
      </c>
    </row>
    <row r="381" spans="1:29" customFormat="1">
      <c r="A381" s="181"/>
      <c r="B381" s="183">
        <f t="shared" si="54"/>
        <v>13</v>
      </c>
      <c r="C381" s="107" t="str">
        <f t="shared" si="55"/>
        <v>ATK</v>
      </c>
      <c r="D381" s="2" t="s">
        <v>1130</v>
      </c>
      <c r="E381" s="3">
        <v>43899</v>
      </c>
      <c r="F381" s="3">
        <v>43916</v>
      </c>
      <c r="G381" s="108">
        <f t="shared" si="56"/>
        <v>3</v>
      </c>
      <c r="H381" s="108" t="str">
        <f t="shared" si="57"/>
        <v>완료</v>
      </c>
      <c r="I381" s="112" t="s">
        <v>514</v>
      </c>
      <c r="J381" s="4" t="s">
        <v>1131</v>
      </c>
      <c r="K381" s="5" t="s">
        <v>1132</v>
      </c>
      <c r="L381" s="6" t="str">
        <f t="shared" si="49"/>
        <v>EE1</v>
      </c>
      <c r="M381" s="13" t="s">
        <v>216</v>
      </c>
      <c r="N381" s="7" t="s">
        <v>3656</v>
      </c>
      <c r="O381" s="13" t="s">
        <v>1133</v>
      </c>
      <c r="P381" s="115"/>
      <c r="Q381" s="8" t="s">
        <v>1134</v>
      </c>
      <c r="R381" s="2">
        <v>1</v>
      </c>
      <c r="S381" s="9">
        <v>5000</v>
      </c>
      <c r="T381" s="10">
        <f t="shared" si="50"/>
        <v>2500</v>
      </c>
      <c r="U381" s="9">
        <v>1500</v>
      </c>
      <c r="V381" s="10">
        <f t="shared" si="51"/>
        <v>1000</v>
      </c>
      <c r="W381" s="4" t="s">
        <v>1136</v>
      </c>
      <c r="X381" s="2" t="s">
        <v>124</v>
      </c>
      <c r="Y381" s="11">
        <v>1</v>
      </c>
      <c r="Z381" s="12">
        <f t="shared" si="52"/>
        <v>17</v>
      </c>
      <c r="AA381" s="4" t="s">
        <v>1137</v>
      </c>
      <c r="AC381" s="176">
        <f t="shared" si="53"/>
        <v>1.3636363636363635</v>
      </c>
    </row>
    <row r="382" spans="1:29" customFormat="1">
      <c r="A382" s="181"/>
      <c r="B382" s="183">
        <f t="shared" si="54"/>
        <v>13</v>
      </c>
      <c r="C382" s="107" t="str">
        <f t="shared" si="55"/>
        <v>ATK</v>
      </c>
      <c r="D382" s="2" t="s">
        <v>1130</v>
      </c>
      <c r="E382" s="3">
        <v>43899</v>
      </c>
      <c r="F382" s="3">
        <v>43916</v>
      </c>
      <c r="G382" s="108">
        <f t="shared" si="56"/>
        <v>3</v>
      </c>
      <c r="H382" s="108" t="str">
        <f t="shared" si="57"/>
        <v>완료</v>
      </c>
      <c r="I382" s="112" t="s">
        <v>514</v>
      </c>
      <c r="J382" s="4" t="s">
        <v>1131</v>
      </c>
      <c r="K382" s="5" t="s">
        <v>1132</v>
      </c>
      <c r="L382" s="6" t="str">
        <f t="shared" si="49"/>
        <v>EE1</v>
      </c>
      <c r="M382" s="13" t="s">
        <v>216</v>
      </c>
      <c r="N382" s="7" t="s">
        <v>3656</v>
      </c>
      <c r="O382" s="13" t="s">
        <v>1133</v>
      </c>
      <c r="P382" s="115"/>
      <c r="Q382" s="8" t="s">
        <v>1135</v>
      </c>
      <c r="R382" s="2">
        <v>1</v>
      </c>
      <c r="S382" s="9">
        <v>5000</v>
      </c>
      <c r="T382" s="10">
        <f t="shared" si="50"/>
        <v>2500</v>
      </c>
      <c r="U382" s="9">
        <v>1500</v>
      </c>
      <c r="V382" s="10">
        <f t="shared" si="51"/>
        <v>1000</v>
      </c>
      <c r="W382" s="4" t="s">
        <v>1136</v>
      </c>
      <c r="X382" s="2" t="s">
        <v>124</v>
      </c>
      <c r="Y382" s="11">
        <v>1</v>
      </c>
      <c r="Z382" s="12">
        <f t="shared" si="52"/>
        <v>17</v>
      </c>
      <c r="AA382" s="4" t="s">
        <v>1137</v>
      </c>
      <c r="AC382" s="176">
        <f t="shared" si="53"/>
        <v>1.3636363636363635</v>
      </c>
    </row>
    <row r="383" spans="1:29" customFormat="1">
      <c r="A383" s="181"/>
      <c r="B383" s="183">
        <f t="shared" si="54"/>
        <v>11</v>
      </c>
      <c r="C383" s="107" t="str">
        <f t="shared" si="55"/>
        <v>ATK</v>
      </c>
      <c r="D383" s="2" t="s">
        <v>1138</v>
      </c>
      <c r="E383" s="3">
        <v>43895</v>
      </c>
      <c r="F383" s="3">
        <v>43901</v>
      </c>
      <c r="G383" s="108">
        <f t="shared" si="56"/>
        <v>3</v>
      </c>
      <c r="H383" s="108" t="str">
        <f t="shared" si="57"/>
        <v>완료</v>
      </c>
      <c r="I383" s="112" t="s">
        <v>218</v>
      </c>
      <c r="J383" s="4" t="s">
        <v>1139</v>
      </c>
      <c r="K383" s="5" t="s">
        <v>1140</v>
      </c>
      <c r="L383" s="6" t="str">
        <f t="shared" si="49"/>
        <v>3T3</v>
      </c>
      <c r="M383" s="13" t="s">
        <v>147</v>
      </c>
      <c r="N383" s="7" t="s">
        <v>197</v>
      </c>
      <c r="O383" s="13" t="s">
        <v>147</v>
      </c>
      <c r="P383" s="115" t="s">
        <v>198</v>
      </c>
      <c r="Q383" s="8" t="s">
        <v>1141</v>
      </c>
      <c r="R383" s="2">
        <v>1</v>
      </c>
      <c r="S383" s="9">
        <v>710</v>
      </c>
      <c r="T383" s="10">
        <f t="shared" si="50"/>
        <v>355</v>
      </c>
      <c r="U383" s="9">
        <v>75</v>
      </c>
      <c r="V383" s="10">
        <f t="shared" si="51"/>
        <v>280</v>
      </c>
      <c r="W383" s="4" t="s">
        <v>122</v>
      </c>
      <c r="X383" s="2"/>
      <c r="Y383" s="11">
        <v>2</v>
      </c>
      <c r="Z383" s="12">
        <f t="shared" si="52"/>
        <v>6</v>
      </c>
      <c r="AA383" s="4" t="s">
        <v>174</v>
      </c>
      <c r="AC383" s="176">
        <f t="shared" si="53"/>
        <v>6.8181818181818177E-2</v>
      </c>
    </row>
    <row r="384" spans="1:29" customFormat="1">
      <c r="A384" s="181"/>
      <c r="B384" s="183">
        <f t="shared" si="54"/>
        <v>11</v>
      </c>
      <c r="C384" s="107" t="str">
        <f t="shared" si="55"/>
        <v>ATK</v>
      </c>
      <c r="D384" s="2" t="s">
        <v>312</v>
      </c>
      <c r="E384" s="3">
        <v>43901</v>
      </c>
      <c r="F384" s="3">
        <v>43901</v>
      </c>
      <c r="G384" s="108">
        <f t="shared" si="56"/>
        <v>3</v>
      </c>
      <c r="H384" s="108" t="str">
        <f t="shared" si="57"/>
        <v>완료</v>
      </c>
      <c r="I384" s="112" t="s">
        <v>218</v>
      </c>
      <c r="J384" s="4" t="s">
        <v>118</v>
      </c>
      <c r="K384" s="5" t="s">
        <v>137</v>
      </c>
      <c r="L384" s="6" t="str">
        <f t="shared" si="49"/>
        <v>2T2</v>
      </c>
      <c r="M384" s="13" t="s">
        <v>256</v>
      </c>
      <c r="N384" s="7" t="s">
        <v>3594</v>
      </c>
      <c r="O384" s="13" t="s">
        <v>1142</v>
      </c>
      <c r="P384" s="115" t="s">
        <v>330</v>
      </c>
      <c r="Q384" s="8"/>
      <c r="R384" s="2">
        <v>1</v>
      </c>
      <c r="S384" s="9">
        <v>3500</v>
      </c>
      <c r="T384" s="10">
        <f t="shared" si="50"/>
        <v>1750</v>
      </c>
      <c r="U384" s="9">
        <v>50</v>
      </c>
      <c r="V384" s="10">
        <f t="shared" si="51"/>
        <v>1700</v>
      </c>
      <c r="W384" s="4" t="s">
        <v>122</v>
      </c>
      <c r="X384" s="2"/>
      <c r="Y384" s="11">
        <v>3</v>
      </c>
      <c r="Z384" s="12">
        <f t="shared" si="52"/>
        <v>0</v>
      </c>
      <c r="AA384" s="4" t="s">
        <v>27</v>
      </c>
      <c r="AC384" s="176">
        <f t="shared" si="53"/>
        <v>4.5454545454545456E-2</v>
      </c>
    </row>
    <row r="385" spans="1:29" customFormat="1">
      <c r="A385" s="181"/>
      <c r="B385" s="183">
        <f t="shared" si="54"/>
        <v>11</v>
      </c>
      <c r="C385" s="107" t="str">
        <f t="shared" si="55"/>
        <v>ATK</v>
      </c>
      <c r="D385" s="2" t="s">
        <v>280</v>
      </c>
      <c r="E385" s="3">
        <v>43899</v>
      </c>
      <c r="F385" s="3">
        <v>43901</v>
      </c>
      <c r="G385" s="108">
        <f t="shared" si="56"/>
        <v>3</v>
      </c>
      <c r="H385" s="108" t="str">
        <f t="shared" si="57"/>
        <v>완료</v>
      </c>
      <c r="I385" s="112" t="s">
        <v>218</v>
      </c>
      <c r="J385" s="4" t="s">
        <v>281</v>
      </c>
      <c r="K385" s="5" t="s">
        <v>282</v>
      </c>
      <c r="L385" s="6" t="str">
        <f t="shared" si="49"/>
        <v>EE1</v>
      </c>
      <c r="M385" s="13" t="s">
        <v>1143</v>
      </c>
      <c r="N385" s="7" t="s">
        <v>140</v>
      </c>
      <c r="O385" s="13" t="s">
        <v>461</v>
      </c>
      <c r="P385" s="115" t="s">
        <v>1145</v>
      </c>
      <c r="Q385" s="8"/>
      <c r="R385" s="2">
        <v>1</v>
      </c>
      <c r="S385" s="9">
        <v>1000</v>
      </c>
      <c r="T385" s="10">
        <f t="shared" si="50"/>
        <v>500</v>
      </c>
      <c r="U385" s="9">
        <v>5</v>
      </c>
      <c r="V385" s="10">
        <f t="shared" si="51"/>
        <v>495</v>
      </c>
      <c r="W385" s="4" t="s">
        <v>122</v>
      </c>
      <c r="X385" s="2"/>
      <c r="Y385" s="11">
        <v>4</v>
      </c>
      <c r="Z385" s="12">
        <f t="shared" si="52"/>
        <v>2</v>
      </c>
      <c r="AA385" s="4" t="s">
        <v>27</v>
      </c>
      <c r="AC385" s="176">
        <f t="shared" ref="AC385:AC445" si="58">U385/1100</f>
        <v>4.5454545454545452E-3</v>
      </c>
    </row>
    <row r="386" spans="1:29" customFormat="1">
      <c r="A386" s="181"/>
      <c r="B386" s="183">
        <f t="shared" si="54"/>
        <v>11</v>
      </c>
      <c r="C386" s="107" t="str">
        <f t="shared" si="55"/>
        <v>ATK</v>
      </c>
      <c r="D386" s="2" t="s">
        <v>704</v>
      </c>
      <c r="E386" s="3">
        <v>43899</v>
      </c>
      <c r="F386" s="3">
        <v>43901</v>
      </c>
      <c r="G386" s="108">
        <f t="shared" si="56"/>
        <v>3</v>
      </c>
      <c r="H386" s="108" t="str">
        <f t="shared" si="57"/>
        <v>완료</v>
      </c>
      <c r="I386" s="112" t="s">
        <v>218</v>
      </c>
      <c r="J386" s="4" t="s">
        <v>127</v>
      </c>
      <c r="K386" s="5" t="s">
        <v>131</v>
      </c>
      <c r="L386" s="6" t="str">
        <f t="shared" ref="L386:L449" si="59">LEFT(K386,3)</f>
        <v>1T4</v>
      </c>
      <c r="M386" s="13" t="s">
        <v>1144</v>
      </c>
      <c r="N386" s="7" t="s">
        <v>140</v>
      </c>
      <c r="O386" s="13" t="s">
        <v>461</v>
      </c>
      <c r="P386" s="115" t="s">
        <v>1146</v>
      </c>
      <c r="Q386" s="8"/>
      <c r="R386" s="2">
        <v>1</v>
      </c>
      <c r="S386" s="9">
        <v>1000</v>
      </c>
      <c r="T386" s="10">
        <f t="shared" ref="T386:T449" si="60">(S386*50)/100*R386</f>
        <v>500</v>
      </c>
      <c r="U386" s="9">
        <v>5</v>
      </c>
      <c r="V386" s="10">
        <f t="shared" ref="V386:V449" si="61">T386-U386</f>
        <v>495</v>
      </c>
      <c r="W386" s="4" t="s">
        <v>122</v>
      </c>
      <c r="X386" s="2"/>
      <c r="Y386" s="11">
        <v>4</v>
      </c>
      <c r="Z386" s="12">
        <f t="shared" ref="Z386:Z449" si="62">F386-E386</f>
        <v>2</v>
      </c>
      <c r="AA386" s="4" t="s">
        <v>27</v>
      </c>
      <c r="AC386" s="176">
        <f t="shared" si="58"/>
        <v>4.5454545454545452E-3</v>
      </c>
    </row>
    <row r="387" spans="1:29" customFormat="1">
      <c r="A387" s="181"/>
      <c r="B387" s="183">
        <f t="shared" ref="B387:B450" si="63">IF(F387&gt;0,IFERROR(WEEKNUM(F387),""),"")</f>
        <v>11</v>
      </c>
      <c r="C387" s="107" t="str">
        <f t="shared" ref="C387:C450" si="64">IF(D387=0,"",(IF(LEFT(D387,3)="ATK","ATK",IF(LEFT(D387,2)="AT",D387,"ATK"))))</f>
        <v>ATK</v>
      </c>
      <c r="D387" s="2" t="s">
        <v>1147</v>
      </c>
      <c r="E387" s="3">
        <v>43900</v>
      </c>
      <c r="F387" s="3">
        <v>43901</v>
      </c>
      <c r="G387" s="108">
        <f t="shared" ref="G387:G450" si="65">IF(F387&gt;0,MONTH(F387),"")</f>
        <v>3</v>
      </c>
      <c r="H387" s="108" t="str">
        <f t="shared" ref="H387:H450" si="66">IF(I387=0,"",IF(RIGHT(I387,2)="완료","완료",IF(RIGHT(I387,2)="불가","수리불가",IF(RIGHT(I387,1)="중","수리중","Other"))))</f>
        <v>완료</v>
      </c>
      <c r="I387" s="112" t="s">
        <v>1148</v>
      </c>
      <c r="J387" s="4" t="s">
        <v>121</v>
      </c>
      <c r="K387" s="5" t="s">
        <v>136</v>
      </c>
      <c r="L387" s="6" t="str">
        <f t="shared" si="59"/>
        <v>5T1</v>
      </c>
      <c r="M387" s="13" t="s">
        <v>753</v>
      </c>
      <c r="N387" s="7" t="s">
        <v>3657</v>
      </c>
      <c r="O387" s="13" t="s">
        <v>1149</v>
      </c>
      <c r="P387" s="115" t="s">
        <v>1150</v>
      </c>
      <c r="Q387" s="8"/>
      <c r="R387" s="2">
        <v>1</v>
      </c>
      <c r="S387" s="9">
        <v>1500</v>
      </c>
      <c r="T387" s="10">
        <f t="shared" si="60"/>
        <v>750</v>
      </c>
      <c r="U387" s="9">
        <v>0</v>
      </c>
      <c r="V387" s="10">
        <f t="shared" si="61"/>
        <v>750</v>
      </c>
      <c r="W387" s="4" t="s">
        <v>1151</v>
      </c>
      <c r="X387" s="2"/>
      <c r="Y387" s="11">
        <v>3</v>
      </c>
      <c r="Z387" s="12">
        <f t="shared" si="62"/>
        <v>1</v>
      </c>
      <c r="AA387" s="4" t="s">
        <v>1152</v>
      </c>
      <c r="AC387" s="176">
        <f t="shared" si="58"/>
        <v>0</v>
      </c>
    </row>
    <row r="388" spans="1:29" customFormat="1">
      <c r="A388" s="181"/>
      <c r="B388" s="183">
        <f t="shared" si="63"/>
        <v>11</v>
      </c>
      <c r="C388" s="107" t="str">
        <f t="shared" si="64"/>
        <v>ATK</v>
      </c>
      <c r="D388" s="2" t="s">
        <v>1153</v>
      </c>
      <c r="E388" s="3">
        <v>43897</v>
      </c>
      <c r="F388" s="3">
        <v>43901</v>
      </c>
      <c r="G388" s="108">
        <f t="shared" si="65"/>
        <v>3</v>
      </c>
      <c r="H388" s="108" t="str">
        <f t="shared" si="66"/>
        <v>완료</v>
      </c>
      <c r="I388" s="112" t="s">
        <v>218</v>
      </c>
      <c r="J388" s="4" t="s">
        <v>132</v>
      </c>
      <c r="K388" s="5" t="s">
        <v>133</v>
      </c>
      <c r="L388" s="6" t="str">
        <f t="shared" si="59"/>
        <v>3T3</v>
      </c>
      <c r="M388" s="13" t="s">
        <v>1154</v>
      </c>
      <c r="N388" s="7" t="s">
        <v>3658</v>
      </c>
      <c r="O388" s="13" t="s">
        <v>1155</v>
      </c>
      <c r="P388" s="115" t="s">
        <v>1066</v>
      </c>
      <c r="Q388" s="8"/>
      <c r="R388" s="2">
        <v>1</v>
      </c>
      <c r="S388" s="9">
        <v>1500</v>
      </c>
      <c r="T388" s="10">
        <f t="shared" si="60"/>
        <v>750</v>
      </c>
      <c r="U388" s="9">
        <v>0</v>
      </c>
      <c r="V388" s="10">
        <f t="shared" si="61"/>
        <v>750</v>
      </c>
      <c r="W388" s="4" t="s">
        <v>122</v>
      </c>
      <c r="X388" s="2"/>
      <c r="Y388" s="11">
        <v>8</v>
      </c>
      <c r="Z388" s="12">
        <f t="shared" si="62"/>
        <v>4</v>
      </c>
      <c r="AA388" s="4" t="s">
        <v>259</v>
      </c>
      <c r="AC388" s="176">
        <f t="shared" si="58"/>
        <v>0</v>
      </c>
    </row>
    <row r="389" spans="1:29" customFormat="1">
      <c r="A389" s="181"/>
      <c r="B389" s="183">
        <f t="shared" si="63"/>
        <v>11</v>
      </c>
      <c r="C389" s="107" t="str">
        <f t="shared" si="64"/>
        <v>ATK</v>
      </c>
      <c r="D389" s="2" t="s">
        <v>236</v>
      </c>
      <c r="E389" s="3">
        <v>43899</v>
      </c>
      <c r="F389" s="3">
        <v>43901</v>
      </c>
      <c r="G389" s="108">
        <f t="shared" si="65"/>
        <v>3</v>
      </c>
      <c r="H389" s="108" t="str">
        <f t="shared" si="66"/>
        <v>완료</v>
      </c>
      <c r="I389" s="112" t="s">
        <v>218</v>
      </c>
      <c r="J389" s="4" t="s">
        <v>118</v>
      </c>
      <c r="K389" s="5" t="s">
        <v>119</v>
      </c>
      <c r="L389" s="6" t="str">
        <f t="shared" si="59"/>
        <v>2T3</v>
      </c>
      <c r="M389" s="13" t="s">
        <v>226</v>
      </c>
      <c r="N389" s="7" t="s">
        <v>157</v>
      </c>
      <c r="O389" s="13" t="s">
        <v>786</v>
      </c>
      <c r="P389" s="115" t="s">
        <v>874</v>
      </c>
      <c r="Q389" s="8"/>
      <c r="R389" s="2">
        <v>1</v>
      </c>
      <c r="S389" s="9">
        <v>1000</v>
      </c>
      <c r="T389" s="10">
        <f t="shared" si="60"/>
        <v>500</v>
      </c>
      <c r="U389" s="9">
        <v>5</v>
      </c>
      <c r="V389" s="10">
        <f t="shared" si="61"/>
        <v>495</v>
      </c>
      <c r="W389" s="4" t="s">
        <v>122</v>
      </c>
      <c r="X389" s="2"/>
      <c r="Y389" s="11">
        <v>3</v>
      </c>
      <c r="Z389" s="12">
        <f t="shared" si="62"/>
        <v>2</v>
      </c>
      <c r="AA389" s="4" t="s">
        <v>27</v>
      </c>
      <c r="AC389" s="176">
        <f t="shared" si="58"/>
        <v>4.5454545454545452E-3</v>
      </c>
    </row>
    <row r="390" spans="1:29" customFormat="1">
      <c r="A390" s="181"/>
      <c r="B390" s="183">
        <f t="shared" si="63"/>
        <v>11</v>
      </c>
      <c r="C390" s="107" t="str">
        <f t="shared" si="64"/>
        <v>ATK</v>
      </c>
      <c r="D390" s="2" t="s">
        <v>255</v>
      </c>
      <c r="E390" s="3">
        <v>43902</v>
      </c>
      <c r="F390" s="3">
        <v>43902</v>
      </c>
      <c r="G390" s="108">
        <f t="shared" si="65"/>
        <v>3</v>
      </c>
      <c r="H390" s="108" t="str">
        <f t="shared" si="66"/>
        <v>완료</v>
      </c>
      <c r="I390" s="112" t="s">
        <v>218</v>
      </c>
      <c r="J390" s="4" t="s">
        <v>127</v>
      </c>
      <c r="K390" s="5" t="s">
        <v>135</v>
      </c>
      <c r="L390" s="6" t="str">
        <f t="shared" si="59"/>
        <v>1T3</v>
      </c>
      <c r="M390" s="13" t="s">
        <v>256</v>
      </c>
      <c r="N390" s="7" t="s">
        <v>3650</v>
      </c>
      <c r="O390" s="13" t="s">
        <v>207</v>
      </c>
      <c r="P390" s="115" t="s">
        <v>654</v>
      </c>
      <c r="Q390" s="8" t="s">
        <v>1156</v>
      </c>
      <c r="R390" s="2">
        <v>1</v>
      </c>
      <c r="S390" s="9">
        <v>400</v>
      </c>
      <c r="T390" s="10">
        <f t="shared" si="60"/>
        <v>200</v>
      </c>
      <c r="U390" s="9">
        <v>0</v>
      </c>
      <c r="V390" s="10">
        <f t="shared" si="61"/>
        <v>200</v>
      </c>
      <c r="W390" s="4" t="s">
        <v>122</v>
      </c>
      <c r="X390" s="2"/>
      <c r="Y390" s="11">
        <v>3</v>
      </c>
      <c r="Z390" s="12">
        <f t="shared" si="62"/>
        <v>0</v>
      </c>
      <c r="AA390" s="4" t="s">
        <v>120</v>
      </c>
      <c r="AC390" s="176">
        <f t="shared" si="58"/>
        <v>0</v>
      </c>
    </row>
    <row r="391" spans="1:29" customFormat="1">
      <c r="A391" s="181"/>
      <c r="B391" s="183">
        <f t="shared" si="63"/>
        <v>11</v>
      </c>
      <c r="C391" s="107" t="str">
        <f t="shared" si="64"/>
        <v>ATK</v>
      </c>
      <c r="D391" s="2" t="s">
        <v>255</v>
      </c>
      <c r="E391" s="3">
        <v>43902</v>
      </c>
      <c r="F391" s="3">
        <v>43903</v>
      </c>
      <c r="G391" s="108">
        <f t="shared" si="65"/>
        <v>3</v>
      </c>
      <c r="H391" s="108" t="str">
        <f t="shared" si="66"/>
        <v>완료</v>
      </c>
      <c r="I391" s="112" t="s">
        <v>218</v>
      </c>
      <c r="J391" s="4" t="s">
        <v>127</v>
      </c>
      <c r="K391" s="5" t="s">
        <v>135</v>
      </c>
      <c r="L391" s="6" t="str">
        <f t="shared" si="59"/>
        <v>1T3</v>
      </c>
      <c r="M391" s="13" t="s">
        <v>256</v>
      </c>
      <c r="N391" s="7" t="s">
        <v>3529</v>
      </c>
      <c r="O391" s="13" t="s">
        <v>482</v>
      </c>
      <c r="P391" s="115" t="s">
        <v>1062</v>
      </c>
      <c r="Q391" s="8"/>
      <c r="R391" s="2">
        <v>1</v>
      </c>
      <c r="S391" s="9">
        <v>1600</v>
      </c>
      <c r="T391" s="10">
        <f t="shared" si="60"/>
        <v>800</v>
      </c>
      <c r="U391" s="9">
        <v>5</v>
      </c>
      <c r="V391" s="10">
        <f t="shared" si="61"/>
        <v>795</v>
      </c>
      <c r="W391" s="4" t="s">
        <v>122</v>
      </c>
      <c r="X391" s="2"/>
      <c r="Y391" s="11">
        <v>3</v>
      </c>
      <c r="Z391" s="12">
        <f t="shared" si="62"/>
        <v>1</v>
      </c>
      <c r="AA391" s="4" t="s">
        <v>27</v>
      </c>
      <c r="AC391" s="176">
        <f t="shared" si="58"/>
        <v>4.5454545454545452E-3</v>
      </c>
    </row>
    <row r="392" spans="1:29" customFormat="1">
      <c r="A392" s="181"/>
      <c r="B392" s="183">
        <f t="shared" si="63"/>
        <v>11</v>
      </c>
      <c r="C392" s="107" t="str">
        <f t="shared" si="64"/>
        <v>ATK</v>
      </c>
      <c r="D392" s="2" t="s">
        <v>1157</v>
      </c>
      <c r="E392" s="3">
        <v>43903</v>
      </c>
      <c r="F392" s="3">
        <v>43903</v>
      </c>
      <c r="G392" s="108">
        <f t="shared" si="65"/>
        <v>3</v>
      </c>
      <c r="H392" s="108" t="str">
        <f t="shared" si="66"/>
        <v>완료</v>
      </c>
      <c r="I392" s="112" t="s">
        <v>218</v>
      </c>
      <c r="J392" s="4" t="s">
        <v>118</v>
      </c>
      <c r="K392" s="5" t="s">
        <v>119</v>
      </c>
      <c r="L392" s="6" t="str">
        <f t="shared" si="59"/>
        <v>2T3</v>
      </c>
      <c r="M392" s="13" t="s">
        <v>1158</v>
      </c>
      <c r="N392" s="7" t="s">
        <v>3659</v>
      </c>
      <c r="O392" s="13" t="s">
        <v>1159</v>
      </c>
      <c r="P392" s="115"/>
      <c r="Q392" s="8"/>
      <c r="R392" s="2">
        <v>2</v>
      </c>
      <c r="S392" s="9">
        <v>1500</v>
      </c>
      <c r="T392" s="10">
        <f t="shared" si="60"/>
        <v>1500</v>
      </c>
      <c r="U392" s="9"/>
      <c r="V392" s="10">
        <f t="shared" si="61"/>
        <v>1500</v>
      </c>
      <c r="W392" s="4" t="s">
        <v>122</v>
      </c>
      <c r="X392" s="2"/>
      <c r="Y392" s="11">
        <v>8</v>
      </c>
      <c r="Z392" s="12">
        <f t="shared" si="62"/>
        <v>0</v>
      </c>
      <c r="AA392" s="4" t="s">
        <v>259</v>
      </c>
      <c r="AC392" s="176">
        <f t="shared" si="58"/>
        <v>0</v>
      </c>
    </row>
    <row r="393" spans="1:29" customFormat="1">
      <c r="A393" s="181"/>
      <c r="B393" s="183">
        <f t="shared" si="63"/>
        <v>11</v>
      </c>
      <c r="C393" s="107" t="str">
        <f t="shared" si="64"/>
        <v>ATK</v>
      </c>
      <c r="D393" s="2" t="s">
        <v>541</v>
      </c>
      <c r="E393" s="3">
        <v>43882</v>
      </c>
      <c r="F393" s="3">
        <v>43903</v>
      </c>
      <c r="G393" s="108">
        <f t="shared" si="65"/>
        <v>3</v>
      </c>
      <c r="H393" s="108" t="str">
        <f t="shared" si="66"/>
        <v>완료</v>
      </c>
      <c r="I393" s="112" t="s">
        <v>218</v>
      </c>
      <c r="J393" s="4" t="s">
        <v>132</v>
      </c>
      <c r="K393" s="5" t="s">
        <v>322</v>
      </c>
      <c r="L393" s="6" t="str">
        <f t="shared" si="59"/>
        <v>3T1</v>
      </c>
      <c r="M393" s="13" t="s">
        <v>813</v>
      </c>
      <c r="N393" s="7" t="s">
        <v>3660</v>
      </c>
      <c r="O393" s="13" t="s">
        <v>1160</v>
      </c>
      <c r="P393" s="115" t="s">
        <v>1161</v>
      </c>
      <c r="Q393" s="8" t="s">
        <v>1162</v>
      </c>
      <c r="R393" s="2">
        <v>1</v>
      </c>
      <c r="S393" s="9">
        <v>2000</v>
      </c>
      <c r="T393" s="10">
        <f t="shared" si="60"/>
        <v>1000</v>
      </c>
      <c r="U393" s="9">
        <v>2</v>
      </c>
      <c r="V393" s="10">
        <f t="shared" si="61"/>
        <v>998</v>
      </c>
      <c r="W393" s="4" t="s">
        <v>122</v>
      </c>
      <c r="X393" s="2"/>
      <c r="Y393" s="11">
        <v>6</v>
      </c>
      <c r="Z393" s="12">
        <f t="shared" si="62"/>
        <v>21</v>
      </c>
      <c r="AA393" s="4" t="s">
        <v>120</v>
      </c>
      <c r="AC393" s="176">
        <f t="shared" si="58"/>
        <v>1.8181818181818182E-3</v>
      </c>
    </row>
    <row r="394" spans="1:29" customFormat="1">
      <c r="A394" s="181"/>
      <c r="B394" s="183">
        <f t="shared" si="63"/>
        <v>13</v>
      </c>
      <c r="C394" s="107" t="str">
        <f t="shared" si="64"/>
        <v>ATK</v>
      </c>
      <c r="D394" s="2" t="s">
        <v>255</v>
      </c>
      <c r="E394" s="3">
        <v>43903</v>
      </c>
      <c r="F394" s="3">
        <v>43914</v>
      </c>
      <c r="G394" s="108">
        <f t="shared" si="65"/>
        <v>3</v>
      </c>
      <c r="H394" s="108" t="str">
        <f t="shared" si="66"/>
        <v>완료</v>
      </c>
      <c r="I394" s="112" t="s">
        <v>218</v>
      </c>
      <c r="J394" s="4" t="s">
        <v>127</v>
      </c>
      <c r="K394" s="5" t="s">
        <v>135</v>
      </c>
      <c r="L394" s="6" t="str">
        <f t="shared" si="59"/>
        <v>1T3</v>
      </c>
      <c r="M394" s="13" t="s">
        <v>256</v>
      </c>
      <c r="N394" s="7" t="s">
        <v>3594</v>
      </c>
      <c r="O394" s="13" t="s">
        <v>478</v>
      </c>
      <c r="P394" s="115" t="s">
        <v>996</v>
      </c>
      <c r="Q394" s="8"/>
      <c r="R394" s="2">
        <v>1</v>
      </c>
      <c r="S394" s="9">
        <v>1600</v>
      </c>
      <c r="T394" s="10">
        <f t="shared" si="60"/>
        <v>800</v>
      </c>
      <c r="U394" s="9">
        <v>50</v>
      </c>
      <c r="V394" s="10">
        <f t="shared" si="61"/>
        <v>750</v>
      </c>
      <c r="W394" s="4" t="s">
        <v>122</v>
      </c>
      <c r="X394" s="2"/>
      <c r="Y394" s="11">
        <v>3</v>
      </c>
      <c r="Z394" s="12">
        <f t="shared" si="62"/>
        <v>11</v>
      </c>
      <c r="AA394" s="4" t="s">
        <v>27</v>
      </c>
      <c r="AC394" s="176">
        <f t="shared" si="58"/>
        <v>4.5454545454545456E-2</v>
      </c>
    </row>
    <row r="395" spans="1:29" customFormat="1">
      <c r="A395" s="181"/>
      <c r="B395" s="183">
        <f t="shared" si="63"/>
        <v>12</v>
      </c>
      <c r="C395" s="107" t="str">
        <f t="shared" si="64"/>
        <v>ATK</v>
      </c>
      <c r="D395" s="2" t="s">
        <v>463</v>
      </c>
      <c r="E395" s="3">
        <v>43906</v>
      </c>
      <c r="F395" s="3">
        <v>43906</v>
      </c>
      <c r="G395" s="108">
        <f t="shared" si="65"/>
        <v>3</v>
      </c>
      <c r="H395" s="108" t="str">
        <f t="shared" si="66"/>
        <v>완료</v>
      </c>
      <c r="I395" s="112" t="s">
        <v>218</v>
      </c>
      <c r="J395" s="4" t="s">
        <v>121</v>
      </c>
      <c r="K395" s="5" t="s">
        <v>136</v>
      </c>
      <c r="L395" s="6" t="str">
        <f t="shared" si="59"/>
        <v>5T1</v>
      </c>
      <c r="M395" s="13" t="s">
        <v>226</v>
      </c>
      <c r="N395" s="7" t="s">
        <v>140</v>
      </c>
      <c r="O395" s="13" t="s">
        <v>225</v>
      </c>
      <c r="P395" s="115" t="s">
        <v>1163</v>
      </c>
      <c r="Q395" s="8"/>
      <c r="R395" s="2">
        <v>1</v>
      </c>
      <c r="S395" s="9">
        <v>2000</v>
      </c>
      <c r="T395" s="10">
        <f t="shared" si="60"/>
        <v>1000</v>
      </c>
      <c r="U395" s="9">
        <v>50</v>
      </c>
      <c r="V395" s="10">
        <f t="shared" si="61"/>
        <v>950</v>
      </c>
      <c r="W395" s="4" t="s">
        <v>122</v>
      </c>
      <c r="X395" s="2"/>
      <c r="Y395" s="11">
        <v>3</v>
      </c>
      <c r="Z395" s="12">
        <f t="shared" si="62"/>
        <v>0</v>
      </c>
      <c r="AA395" s="4" t="s">
        <v>27</v>
      </c>
      <c r="AC395" s="176">
        <f t="shared" si="58"/>
        <v>4.5454545454545456E-2</v>
      </c>
    </row>
    <row r="396" spans="1:29" customFormat="1">
      <c r="A396" s="181"/>
      <c r="B396" s="183">
        <f t="shared" si="63"/>
        <v>12</v>
      </c>
      <c r="C396" s="107" t="str">
        <f t="shared" si="64"/>
        <v>ATK</v>
      </c>
      <c r="D396" s="2" t="s">
        <v>1164</v>
      </c>
      <c r="E396" s="3">
        <v>43906</v>
      </c>
      <c r="F396" s="3">
        <v>43906</v>
      </c>
      <c r="G396" s="108">
        <f t="shared" si="65"/>
        <v>3</v>
      </c>
      <c r="H396" s="108" t="str">
        <f t="shared" si="66"/>
        <v>완료</v>
      </c>
      <c r="I396" s="112" t="s">
        <v>218</v>
      </c>
      <c r="J396" s="4" t="s">
        <v>118</v>
      </c>
      <c r="K396" s="5" t="s">
        <v>137</v>
      </c>
      <c r="L396" s="6" t="str">
        <f t="shared" si="59"/>
        <v>2T2</v>
      </c>
      <c r="M396" s="13" t="s">
        <v>1165</v>
      </c>
      <c r="N396" s="7" t="s">
        <v>3661</v>
      </c>
      <c r="O396" s="13" t="s">
        <v>1166</v>
      </c>
      <c r="P396" s="115" t="s">
        <v>1167</v>
      </c>
      <c r="Q396" s="8"/>
      <c r="R396" s="2">
        <v>1</v>
      </c>
      <c r="S396" s="9">
        <v>2500</v>
      </c>
      <c r="T396" s="10">
        <f t="shared" si="60"/>
        <v>1250</v>
      </c>
      <c r="U396" s="9">
        <v>10</v>
      </c>
      <c r="V396" s="10">
        <f t="shared" si="61"/>
        <v>1240</v>
      </c>
      <c r="W396" s="4" t="s">
        <v>122</v>
      </c>
      <c r="X396" s="2"/>
      <c r="Y396" s="11">
        <v>8</v>
      </c>
      <c r="Z396" s="12">
        <f t="shared" si="62"/>
        <v>0</v>
      </c>
      <c r="AA396" s="4" t="s">
        <v>259</v>
      </c>
      <c r="AC396" s="176">
        <f t="shared" si="58"/>
        <v>9.0909090909090905E-3</v>
      </c>
    </row>
    <row r="397" spans="1:29" customFormat="1">
      <c r="A397" s="181"/>
      <c r="B397" s="183">
        <f t="shared" si="63"/>
        <v>12</v>
      </c>
      <c r="C397" s="107" t="str">
        <f t="shared" si="64"/>
        <v>ATK</v>
      </c>
      <c r="D397" s="2" t="s">
        <v>1168</v>
      </c>
      <c r="E397" s="3">
        <v>43896</v>
      </c>
      <c r="F397" s="3">
        <v>43906</v>
      </c>
      <c r="G397" s="108">
        <f t="shared" si="65"/>
        <v>3</v>
      </c>
      <c r="H397" s="108" t="str">
        <f t="shared" si="66"/>
        <v>완료</v>
      </c>
      <c r="I397" s="112" t="s">
        <v>218</v>
      </c>
      <c r="J397" s="4" t="s">
        <v>281</v>
      </c>
      <c r="K397" s="5" t="s">
        <v>332</v>
      </c>
      <c r="L397" s="6" t="str">
        <f t="shared" si="59"/>
        <v>EE2</v>
      </c>
      <c r="M397" s="13" t="s">
        <v>256</v>
      </c>
      <c r="N397" s="7" t="s">
        <v>3535</v>
      </c>
      <c r="O397" s="13" t="s">
        <v>393</v>
      </c>
      <c r="P397" s="115" t="s">
        <v>1169</v>
      </c>
      <c r="Q397" s="8"/>
      <c r="R397" s="2">
        <v>1</v>
      </c>
      <c r="S397" s="9">
        <v>1016.16</v>
      </c>
      <c r="T397" s="10">
        <f t="shared" si="60"/>
        <v>508.08</v>
      </c>
      <c r="U397" s="9">
        <v>25</v>
      </c>
      <c r="V397" s="10">
        <f t="shared" si="61"/>
        <v>483.08</v>
      </c>
      <c r="W397" s="4" t="s">
        <v>249</v>
      </c>
      <c r="X397" s="2"/>
      <c r="Y397" s="11">
        <v>5</v>
      </c>
      <c r="Z397" s="12">
        <f t="shared" si="62"/>
        <v>10</v>
      </c>
      <c r="AA397" s="4" t="s">
        <v>174</v>
      </c>
      <c r="AC397" s="176">
        <f t="shared" si="58"/>
        <v>2.2727272727272728E-2</v>
      </c>
    </row>
    <row r="398" spans="1:29" customFormat="1">
      <c r="A398" s="181"/>
      <c r="B398" s="183">
        <f t="shared" si="63"/>
        <v>12</v>
      </c>
      <c r="C398" s="107" t="str">
        <f t="shared" si="64"/>
        <v>ATK</v>
      </c>
      <c r="D398" s="2" t="s">
        <v>463</v>
      </c>
      <c r="E398" s="3">
        <v>43906</v>
      </c>
      <c r="F398" s="3">
        <v>43906</v>
      </c>
      <c r="G398" s="108">
        <f t="shared" si="65"/>
        <v>3</v>
      </c>
      <c r="H398" s="108" t="str">
        <f t="shared" si="66"/>
        <v>완료</v>
      </c>
      <c r="I398" s="112" t="s">
        <v>218</v>
      </c>
      <c r="J398" s="4" t="s">
        <v>121</v>
      </c>
      <c r="K398" s="5" t="s">
        <v>136</v>
      </c>
      <c r="L398" s="6" t="str">
        <f t="shared" si="59"/>
        <v>5T1</v>
      </c>
      <c r="M398" s="13" t="s">
        <v>226</v>
      </c>
      <c r="N398" s="7" t="s">
        <v>140</v>
      </c>
      <c r="O398" s="13" t="s">
        <v>225</v>
      </c>
      <c r="P398" s="115" t="s">
        <v>1170</v>
      </c>
      <c r="Q398" s="8"/>
      <c r="R398" s="2">
        <v>1</v>
      </c>
      <c r="S398" s="9">
        <v>2000</v>
      </c>
      <c r="T398" s="10">
        <f t="shared" si="60"/>
        <v>1000</v>
      </c>
      <c r="U398" s="9">
        <v>0</v>
      </c>
      <c r="V398" s="10">
        <f t="shared" si="61"/>
        <v>1000</v>
      </c>
      <c r="W398" s="4" t="s">
        <v>122</v>
      </c>
      <c r="X398" s="2"/>
      <c r="Y398" s="11">
        <v>3</v>
      </c>
      <c r="Z398" s="12">
        <f t="shared" si="62"/>
        <v>0</v>
      </c>
      <c r="AA398" s="4" t="s">
        <v>27</v>
      </c>
      <c r="AC398" s="176">
        <f t="shared" si="58"/>
        <v>0</v>
      </c>
    </row>
    <row r="399" spans="1:29" customFormat="1">
      <c r="A399" s="181"/>
      <c r="B399" s="183">
        <f t="shared" si="63"/>
        <v>12</v>
      </c>
      <c r="C399" s="107" t="str">
        <f t="shared" si="64"/>
        <v>ATK</v>
      </c>
      <c r="D399" s="2" t="s">
        <v>1171</v>
      </c>
      <c r="E399" s="3">
        <v>43906</v>
      </c>
      <c r="F399" s="3">
        <v>43906</v>
      </c>
      <c r="G399" s="108">
        <f t="shared" si="65"/>
        <v>3</v>
      </c>
      <c r="H399" s="108" t="str">
        <f t="shared" si="66"/>
        <v>완료</v>
      </c>
      <c r="I399" s="112" t="s">
        <v>218</v>
      </c>
      <c r="J399" s="4" t="s">
        <v>139</v>
      </c>
      <c r="K399" s="5" t="s">
        <v>177</v>
      </c>
      <c r="L399" s="6" t="str">
        <f t="shared" si="59"/>
        <v>Bum</v>
      </c>
      <c r="M399" s="13" t="s">
        <v>1172</v>
      </c>
      <c r="N399" s="7" t="s">
        <v>3616</v>
      </c>
      <c r="O399" s="13" t="s">
        <v>543</v>
      </c>
      <c r="P399" s="115" t="s">
        <v>1173</v>
      </c>
      <c r="Q399" s="8" t="s">
        <v>881</v>
      </c>
      <c r="R399" s="2">
        <v>1</v>
      </c>
      <c r="S399" s="9">
        <v>400</v>
      </c>
      <c r="T399" s="10">
        <f t="shared" si="60"/>
        <v>200</v>
      </c>
      <c r="U399" s="9">
        <v>4</v>
      </c>
      <c r="V399" s="10">
        <f t="shared" si="61"/>
        <v>196</v>
      </c>
      <c r="W399" s="4" t="s">
        <v>122</v>
      </c>
      <c r="X399" s="2"/>
      <c r="Y399" s="11">
        <v>5</v>
      </c>
      <c r="Z399" s="12">
        <f t="shared" si="62"/>
        <v>0</v>
      </c>
      <c r="AA399" s="4" t="s">
        <v>120</v>
      </c>
      <c r="AC399" s="176">
        <f t="shared" si="58"/>
        <v>3.6363636363636364E-3</v>
      </c>
    </row>
    <row r="400" spans="1:29" customFormat="1">
      <c r="A400" s="181"/>
      <c r="B400" s="183">
        <f t="shared" si="63"/>
        <v>12</v>
      </c>
      <c r="C400" s="107" t="str">
        <f t="shared" si="64"/>
        <v>ATK</v>
      </c>
      <c r="D400" s="2" t="s">
        <v>295</v>
      </c>
      <c r="E400" s="3">
        <v>43906</v>
      </c>
      <c r="F400" s="3">
        <v>43906</v>
      </c>
      <c r="G400" s="108">
        <f t="shared" si="65"/>
        <v>3</v>
      </c>
      <c r="H400" s="108" t="str">
        <f t="shared" si="66"/>
        <v>완료</v>
      </c>
      <c r="I400" s="112" t="s">
        <v>218</v>
      </c>
      <c r="J400" s="4" t="s">
        <v>132</v>
      </c>
      <c r="K400" s="5" t="s">
        <v>133</v>
      </c>
      <c r="L400" s="6" t="str">
        <f t="shared" si="59"/>
        <v>3T3</v>
      </c>
      <c r="M400" s="13" t="s">
        <v>1174</v>
      </c>
      <c r="N400" s="7" t="s">
        <v>3662</v>
      </c>
      <c r="O400" s="13" t="s">
        <v>543</v>
      </c>
      <c r="P400" s="115" t="s">
        <v>1175</v>
      </c>
      <c r="Q400" s="8" t="s">
        <v>1176</v>
      </c>
      <c r="R400" s="2">
        <v>1</v>
      </c>
      <c r="S400" s="9">
        <v>550</v>
      </c>
      <c r="T400" s="10">
        <f t="shared" si="60"/>
        <v>275</v>
      </c>
      <c r="U400" s="9">
        <v>1</v>
      </c>
      <c r="V400" s="10">
        <f t="shared" si="61"/>
        <v>274</v>
      </c>
      <c r="W400" s="4" t="s">
        <v>122</v>
      </c>
      <c r="X400" s="2"/>
      <c r="Y400" s="11">
        <v>2</v>
      </c>
      <c r="Z400" s="12">
        <f t="shared" si="62"/>
        <v>0</v>
      </c>
      <c r="AA400" s="4" t="s">
        <v>120</v>
      </c>
      <c r="AC400" s="176">
        <f t="shared" si="58"/>
        <v>9.0909090909090909E-4</v>
      </c>
    </row>
    <row r="401" spans="1:29" customFormat="1">
      <c r="A401" s="181"/>
      <c r="B401" s="183">
        <f t="shared" si="63"/>
        <v>12</v>
      </c>
      <c r="C401" s="107" t="str">
        <f t="shared" si="64"/>
        <v>ATK</v>
      </c>
      <c r="D401" s="2" t="s">
        <v>1177</v>
      </c>
      <c r="E401" s="3">
        <v>43906</v>
      </c>
      <c r="F401" s="3">
        <v>43906</v>
      </c>
      <c r="G401" s="108">
        <f t="shared" si="65"/>
        <v>3</v>
      </c>
      <c r="H401" s="108" t="str">
        <f t="shared" si="66"/>
        <v>완료</v>
      </c>
      <c r="I401" s="112" t="s">
        <v>218</v>
      </c>
      <c r="J401" s="4" t="s">
        <v>132</v>
      </c>
      <c r="K401" s="5" t="s">
        <v>133</v>
      </c>
      <c r="L401" s="6" t="str">
        <f t="shared" si="59"/>
        <v>3T3</v>
      </c>
      <c r="M401" s="13" t="s">
        <v>1178</v>
      </c>
      <c r="N401" s="7" t="s">
        <v>3663</v>
      </c>
      <c r="O401" s="13" t="s">
        <v>1179</v>
      </c>
      <c r="P401" s="115" t="s">
        <v>1180</v>
      </c>
      <c r="Q401" s="8" t="s">
        <v>1181</v>
      </c>
      <c r="R401" s="2">
        <v>1</v>
      </c>
      <c r="S401" s="9">
        <v>4500</v>
      </c>
      <c r="T401" s="10">
        <f t="shared" si="60"/>
        <v>2250</v>
      </c>
      <c r="U401" s="9">
        <v>1</v>
      </c>
      <c r="V401" s="10">
        <f t="shared" si="61"/>
        <v>2249</v>
      </c>
      <c r="W401" s="4" t="s">
        <v>122</v>
      </c>
      <c r="X401" s="2"/>
      <c r="Y401" s="11">
        <v>1</v>
      </c>
      <c r="Z401" s="12">
        <f t="shared" si="62"/>
        <v>0</v>
      </c>
      <c r="AA401" s="4" t="s">
        <v>120</v>
      </c>
      <c r="AC401" s="176">
        <f t="shared" si="58"/>
        <v>9.0909090909090909E-4</v>
      </c>
    </row>
    <row r="402" spans="1:29" customFormat="1">
      <c r="A402" s="181"/>
      <c r="B402" s="183">
        <f t="shared" si="63"/>
        <v>12</v>
      </c>
      <c r="C402" s="107" t="str">
        <f t="shared" si="64"/>
        <v>ATK</v>
      </c>
      <c r="D402" s="2" t="s">
        <v>1182</v>
      </c>
      <c r="E402" s="3">
        <v>43906</v>
      </c>
      <c r="F402" s="3">
        <v>43907</v>
      </c>
      <c r="G402" s="108">
        <f t="shared" si="65"/>
        <v>3</v>
      </c>
      <c r="H402" s="108" t="str">
        <f t="shared" si="66"/>
        <v>Other</v>
      </c>
      <c r="I402" s="112" t="s">
        <v>1183</v>
      </c>
      <c r="J402" s="4" t="s">
        <v>499</v>
      </c>
      <c r="K402" s="5" t="s">
        <v>1184</v>
      </c>
      <c r="L402" s="6" t="str">
        <f t="shared" si="59"/>
        <v>QA</v>
      </c>
      <c r="M402" s="13" t="s">
        <v>1185</v>
      </c>
      <c r="N402" s="7" t="s">
        <v>140</v>
      </c>
      <c r="O402" s="13" t="s">
        <v>1186</v>
      </c>
      <c r="P402" s="115" t="s">
        <v>1187</v>
      </c>
      <c r="Q402" s="8"/>
      <c r="R402" s="2">
        <v>1</v>
      </c>
      <c r="S402" s="9">
        <v>300</v>
      </c>
      <c r="T402" s="10">
        <f t="shared" si="60"/>
        <v>150</v>
      </c>
      <c r="U402" s="9">
        <v>0</v>
      </c>
      <c r="V402" s="10">
        <f t="shared" si="61"/>
        <v>150</v>
      </c>
      <c r="W402" s="4" t="s">
        <v>1188</v>
      </c>
      <c r="X402" s="2"/>
      <c r="Y402" s="11">
        <v>1</v>
      </c>
      <c r="Z402" s="12">
        <f t="shared" si="62"/>
        <v>1</v>
      </c>
      <c r="AA402" s="4" t="s">
        <v>1189</v>
      </c>
      <c r="AC402" s="176">
        <f t="shared" si="58"/>
        <v>0</v>
      </c>
    </row>
    <row r="403" spans="1:29" customFormat="1">
      <c r="A403" s="181"/>
      <c r="B403" s="183">
        <f t="shared" si="63"/>
        <v>12</v>
      </c>
      <c r="C403" s="107" t="str">
        <f t="shared" si="64"/>
        <v>ATK</v>
      </c>
      <c r="D403" s="2" t="s">
        <v>932</v>
      </c>
      <c r="E403" s="3">
        <v>43906</v>
      </c>
      <c r="F403" s="3">
        <v>43907</v>
      </c>
      <c r="G403" s="108">
        <f t="shared" si="65"/>
        <v>3</v>
      </c>
      <c r="H403" s="108" t="str">
        <f t="shared" si="66"/>
        <v>완료</v>
      </c>
      <c r="I403" s="112" t="s">
        <v>218</v>
      </c>
      <c r="J403" s="4" t="s">
        <v>132</v>
      </c>
      <c r="K403" s="5" t="s">
        <v>133</v>
      </c>
      <c r="L403" s="6" t="str">
        <f t="shared" si="59"/>
        <v>3T3</v>
      </c>
      <c r="M403" s="13" t="s">
        <v>1190</v>
      </c>
      <c r="N403" s="7" t="s">
        <v>3664</v>
      </c>
      <c r="O403" s="13" t="s">
        <v>1191</v>
      </c>
      <c r="P403" s="115" t="s">
        <v>1192</v>
      </c>
      <c r="Q403" s="8"/>
      <c r="R403" s="2">
        <v>1</v>
      </c>
      <c r="S403" s="9">
        <v>250</v>
      </c>
      <c r="T403" s="10">
        <f t="shared" si="60"/>
        <v>125</v>
      </c>
      <c r="U403" s="9">
        <v>4</v>
      </c>
      <c r="V403" s="10">
        <f t="shared" si="61"/>
        <v>121</v>
      </c>
      <c r="W403" s="4" t="s">
        <v>122</v>
      </c>
      <c r="X403" s="2"/>
      <c r="Y403" s="11">
        <v>2</v>
      </c>
      <c r="Z403" s="12">
        <f t="shared" si="62"/>
        <v>1</v>
      </c>
      <c r="AA403" s="4" t="s">
        <v>120</v>
      </c>
      <c r="AC403" s="176">
        <f t="shared" si="58"/>
        <v>3.6363636363636364E-3</v>
      </c>
    </row>
    <row r="404" spans="1:29" customFormat="1">
      <c r="A404" s="181"/>
      <c r="B404" s="183">
        <f t="shared" si="63"/>
        <v>12</v>
      </c>
      <c r="C404" s="107" t="str">
        <f t="shared" si="64"/>
        <v>ATK</v>
      </c>
      <c r="D404" s="2" t="s">
        <v>1259</v>
      </c>
      <c r="E404" s="3">
        <v>43906</v>
      </c>
      <c r="F404" s="3">
        <v>43907</v>
      </c>
      <c r="G404" s="108">
        <f t="shared" si="65"/>
        <v>3</v>
      </c>
      <c r="H404" s="108" t="str">
        <f t="shared" si="66"/>
        <v>완료</v>
      </c>
      <c r="I404" s="112" t="s">
        <v>218</v>
      </c>
      <c r="J404" s="4" t="s">
        <v>132</v>
      </c>
      <c r="K404" s="5" t="s">
        <v>1193</v>
      </c>
      <c r="L404" s="6" t="str">
        <f t="shared" si="59"/>
        <v>3T2</v>
      </c>
      <c r="M404" s="13" t="s">
        <v>1194</v>
      </c>
      <c r="N404" s="7" t="s">
        <v>3665</v>
      </c>
      <c r="O404" s="13" t="s">
        <v>787</v>
      </c>
      <c r="P404" s="115" t="s">
        <v>1195</v>
      </c>
      <c r="Q404" s="8"/>
      <c r="R404" s="2">
        <v>1</v>
      </c>
      <c r="S404" s="9">
        <v>1000</v>
      </c>
      <c r="T404" s="10">
        <f t="shared" si="60"/>
        <v>500</v>
      </c>
      <c r="U404" s="9">
        <v>10</v>
      </c>
      <c r="V404" s="10">
        <f t="shared" si="61"/>
        <v>490</v>
      </c>
      <c r="W404" s="4" t="s">
        <v>122</v>
      </c>
      <c r="X404" s="2"/>
      <c r="Y404" s="11">
        <v>8</v>
      </c>
      <c r="Z404" s="12">
        <f t="shared" si="62"/>
        <v>1</v>
      </c>
      <c r="AA404" s="4" t="s">
        <v>212</v>
      </c>
      <c r="AC404" s="176">
        <f t="shared" si="58"/>
        <v>9.0909090909090905E-3</v>
      </c>
    </row>
    <row r="405" spans="1:29" customFormat="1">
      <c r="A405" s="181"/>
      <c r="B405" s="183">
        <f t="shared" si="63"/>
        <v>12</v>
      </c>
      <c r="C405" s="107" t="str">
        <f t="shared" si="64"/>
        <v>ATK</v>
      </c>
      <c r="D405" s="2" t="s">
        <v>1196</v>
      </c>
      <c r="E405" s="3">
        <v>43895</v>
      </c>
      <c r="F405" s="3">
        <v>43907</v>
      </c>
      <c r="G405" s="108">
        <f t="shared" si="65"/>
        <v>3</v>
      </c>
      <c r="H405" s="108" t="str">
        <f t="shared" si="66"/>
        <v>Other</v>
      </c>
      <c r="I405" s="112" t="s">
        <v>1197</v>
      </c>
      <c r="J405" s="4" t="s">
        <v>1198</v>
      </c>
      <c r="K405" s="5" t="s">
        <v>1199</v>
      </c>
      <c r="L405" s="6" t="str">
        <f t="shared" si="59"/>
        <v>3T1</v>
      </c>
      <c r="M405" s="13" t="s">
        <v>1200</v>
      </c>
      <c r="N405" s="7" t="s">
        <v>197</v>
      </c>
      <c r="O405" s="13" t="s">
        <v>1200</v>
      </c>
      <c r="P405" s="115" t="s">
        <v>271</v>
      </c>
      <c r="Q405" s="8"/>
      <c r="R405" s="2">
        <v>1</v>
      </c>
      <c r="S405" s="9">
        <v>710</v>
      </c>
      <c r="T405" s="10">
        <f t="shared" si="60"/>
        <v>355</v>
      </c>
      <c r="U405" s="9">
        <v>0</v>
      </c>
      <c r="V405" s="10">
        <f t="shared" si="61"/>
        <v>355</v>
      </c>
      <c r="W405" s="4" t="s">
        <v>1201</v>
      </c>
      <c r="X405" s="2"/>
      <c r="Y405" s="11">
        <v>2</v>
      </c>
      <c r="Z405" s="12">
        <f t="shared" si="62"/>
        <v>12</v>
      </c>
      <c r="AA405" s="4" t="s">
        <v>1202</v>
      </c>
      <c r="AC405" s="176">
        <f t="shared" si="58"/>
        <v>0</v>
      </c>
    </row>
    <row r="406" spans="1:29" customFormat="1">
      <c r="A406" s="181"/>
      <c r="B406" s="183">
        <f t="shared" si="63"/>
        <v>12</v>
      </c>
      <c r="C406" s="107" t="str">
        <f t="shared" si="64"/>
        <v>ATK</v>
      </c>
      <c r="D406" s="2" t="s">
        <v>1203</v>
      </c>
      <c r="E406" s="3">
        <v>43907</v>
      </c>
      <c r="F406" s="3">
        <v>43907</v>
      </c>
      <c r="G406" s="108">
        <f t="shared" si="65"/>
        <v>3</v>
      </c>
      <c r="H406" s="108" t="str">
        <f t="shared" si="66"/>
        <v>완료</v>
      </c>
      <c r="I406" s="112" t="s">
        <v>609</v>
      </c>
      <c r="J406" s="4" t="s">
        <v>1204</v>
      </c>
      <c r="K406" s="5" t="s">
        <v>695</v>
      </c>
      <c r="L406" s="6" t="str">
        <f t="shared" si="59"/>
        <v>2T2</v>
      </c>
      <c r="M406" s="13" t="s">
        <v>1205</v>
      </c>
      <c r="N406" s="7" t="s">
        <v>3666</v>
      </c>
      <c r="O406" s="13" t="s">
        <v>1206</v>
      </c>
      <c r="P406" s="115" t="s">
        <v>1214</v>
      </c>
      <c r="Q406" s="8"/>
      <c r="R406" s="2">
        <v>1</v>
      </c>
      <c r="S406" s="9">
        <v>1500</v>
      </c>
      <c r="T406" s="10">
        <f t="shared" si="60"/>
        <v>750</v>
      </c>
      <c r="U406" s="9">
        <v>50</v>
      </c>
      <c r="V406" s="10">
        <f t="shared" si="61"/>
        <v>700</v>
      </c>
      <c r="W406" s="4" t="s">
        <v>1207</v>
      </c>
      <c r="X406" s="2"/>
      <c r="Y406" s="11">
        <v>2</v>
      </c>
      <c r="Z406" s="12">
        <f t="shared" si="62"/>
        <v>0</v>
      </c>
      <c r="AA406" s="4" t="s">
        <v>1208</v>
      </c>
      <c r="AC406" s="176">
        <f t="shared" si="58"/>
        <v>4.5454545454545456E-2</v>
      </c>
    </row>
    <row r="407" spans="1:29" customFormat="1">
      <c r="A407" s="181"/>
      <c r="B407" s="183">
        <f t="shared" si="63"/>
        <v>12</v>
      </c>
      <c r="C407" s="107" t="str">
        <f t="shared" si="64"/>
        <v>ATK</v>
      </c>
      <c r="D407" s="2" t="s">
        <v>1209</v>
      </c>
      <c r="E407" s="3">
        <v>43906</v>
      </c>
      <c r="F407" s="3">
        <v>43907</v>
      </c>
      <c r="G407" s="108">
        <f t="shared" si="65"/>
        <v>3</v>
      </c>
      <c r="H407" s="108" t="str">
        <f t="shared" si="66"/>
        <v>완료</v>
      </c>
      <c r="I407" s="112" t="s">
        <v>218</v>
      </c>
      <c r="J407" s="4" t="s">
        <v>1210</v>
      </c>
      <c r="K407" s="5" t="s">
        <v>1210</v>
      </c>
      <c r="L407" s="6" t="str">
        <f t="shared" si="59"/>
        <v>QA</v>
      </c>
      <c r="M407" s="13" t="s">
        <v>1211</v>
      </c>
      <c r="N407" s="7"/>
      <c r="O407" s="13" t="s">
        <v>1212</v>
      </c>
      <c r="P407" s="115" t="s">
        <v>1213</v>
      </c>
      <c r="Q407" s="8"/>
      <c r="R407" s="2">
        <v>1</v>
      </c>
      <c r="S407" s="9">
        <v>1500</v>
      </c>
      <c r="T407" s="10">
        <f t="shared" si="60"/>
        <v>750</v>
      </c>
      <c r="U407" s="9">
        <v>5</v>
      </c>
      <c r="V407" s="10">
        <f t="shared" si="61"/>
        <v>745</v>
      </c>
      <c r="W407" s="4" t="s">
        <v>122</v>
      </c>
      <c r="X407" s="2"/>
      <c r="Y407" s="11">
        <v>8</v>
      </c>
      <c r="Z407" s="12">
        <f t="shared" si="62"/>
        <v>1</v>
      </c>
      <c r="AA407" s="4" t="s">
        <v>259</v>
      </c>
      <c r="AC407" s="176">
        <f t="shared" si="58"/>
        <v>4.5454545454545452E-3</v>
      </c>
    </row>
    <row r="408" spans="1:29" customFormat="1">
      <c r="A408" s="181"/>
      <c r="B408" s="183">
        <f t="shared" si="63"/>
        <v>12</v>
      </c>
      <c r="C408" s="107" t="str">
        <f t="shared" si="64"/>
        <v>ATK</v>
      </c>
      <c r="D408" s="2" t="s">
        <v>1215</v>
      </c>
      <c r="E408" s="3">
        <v>43906</v>
      </c>
      <c r="F408" s="3">
        <v>43907</v>
      </c>
      <c r="G408" s="108">
        <f t="shared" si="65"/>
        <v>3</v>
      </c>
      <c r="H408" s="108" t="str">
        <f t="shared" si="66"/>
        <v>Other</v>
      </c>
      <c r="I408" s="112" t="s">
        <v>1216</v>
      </c>
      <c r="J408" s="4" t="s">
        <v>756</v>
      </c>
      <c r="K408" s="5" t="s">
        <v>756</v>
      </c>
      <c r="L408" s="6" t="str">
        <f t="shared" si="59"/>
        <v>QA</v>
      </c>
      <c r="M408" s="13" t="s">
        <v>1217</v>
      </c>
      <c r="N408" s="7" t="s">
        <v>3667</v>
      </c>
      <c r="O408" s="13" t="s">
        <v>1217</v>
      </c>
      <c r="P408" s="115" t="s">
        <v>1218</v>
      </c>
      <c r="Q408" s="8" t="s">
        <v>1221</v>
      </c>
      <c r="R408" s="2">
        <v>1</v>
      </c>
      <c r="S408" s="9">
        <v>910</v>
      </c>
      <c r="T408" s="10">
        <f t="shared" si="60"/>
        <v>455</v>
      </c>
      <c r="U408" s="9">
        <v>0</v>
      </c>
      <c r="V408" s="10">
        <f t="shared" si="61"/>
        <v>455</v>
      </c>
      <c r="W408" s="4" t="s">
        <v>1219</v>
      </c>
      <c r="X408" s="2"/>
      <c r="Y408" s="11">
        <v>1</v>
      </c>
      <c r="Z408" s="12">
        <f t="shared" si="62"/>
        <v>1</v>
      </c>
      <c r="AA408" s="4" t="s">
        <v>1220</v>
      </c>
      <c r="AC408" s="176">
        <f t="shared" si="58"/>
        <v>0</v>
      </c>
    </row>
    <row r="409" spans="1:29" customFormat="1">
      <c r="A409" s="181"/>
      <c r="B409" s="183">
        <f t="shared" si="63"/>
        <v>12</v>
      </c>
      <c r="C409" s="107" t="str">
        <f t="shared" si="64"/>
        <v>ATK</v>
      </c>
      <c r="D409" s="2" t="s">
        <v>1222</v>
      </c>
      <c r="E409" s="3">
        <v>43900</v>
      </c>
      <c r="F409" s="3">
        <v>43907</v>
      </c>
      <c r="G409" s="108">
        <f t="shared" si="65"/>
        <v>3</v>
      </c>
      <c r="H409" s="108" t="str">
        <f t="shared" si="66"/>
        <v>완료</v>
      </c>
      <c r="I409" s="112" t="s">
        <v>218</v>
      </c>
      <c r="J409" s="4" t="s">
        <v>281</v>
      </c>
      <c r="K409" s="5" t="s">
        <v>332</v>
      </c>
      <c r="L409" s="6" t="str">
        <f t="shared" si="59"/>
        <v>EE2</v>
      </c>
      <c r="M409" s="13" t="s">
        <v>256</v>
      </c>
      <c r="N409" s="7" t="s">
        <v>3529</v>
      </c>
      <c r="O409" s="13" t="s">
        <v>1223</v>
      </c>
      <c r="P409" s="115" t="s">
        <v>1224</v>
      </c>
      <c r="Q409" s="8"/>
      <c r="R409" s="2">
        <v>1</v>
      </c>
      <c r="S409" s="9">
        <v>1200</v>
      </c>
      <c r="T409" s="10">
        <f t="shared" si="60"/>
        <v>600</v>
      </c>
      <c r="U409" s="9">
        <v>50</v>
      </c>
      <c r="V409" s="10">
        <f t="shared" si="61"/>
        <v>550</v>
      </c>
      <c r="W409" s="4" t="s">
        <v>249</v>
      </c>
      <c r="X409" s="2"/>
      <c r="Y409" s="11">
        <v>3</v>
      </c>
      <c r="Z409" s="12">
        <f t="shared" si="62"/>
        <v>7</v>
      </c>
      <c r="AA409" s="4" t="s">
        <v>27</v>
      </c>
      <c r="AC409" s="176">
        <f t="shared" si="58"/>
        <v>4.5454545454545456E-2</v>
      </c>
    </row>
    <row r="410" spans="1:29" customFormat="1">
      <c r="A410" s="181"/>
      <c r="B410" s="183">
        <f t="shared" si="63"/>
        <v>13</v>
      </c>
      <c r="C410" s="107" t="str">
        <f t="shared" si="64"/>
        <v>ATK</v>
      </c>
      <c r="D410" s="2" t="s">
        <v>1225</v>
      </c>
      <c r="E410" s="3">
        <v>43907</v>
      </c>
      <c r="F410" s="3">
        <v>43916</v>
      </c>
      <c r="G410" s="108">
        <f t="shared" si="65"/>
        <v>3</v>
      </c>
      <c r="H410" s="108" t="str">
        <f t="shared" si="66"/>
        <v>완료</v>
      </c>
      <c r="I410" s="112" t="s">
        <v>218</v>
      </c>
      <c r="J410" s="4" t="s">
        <v>115</v>
      </c>
      <c r="K410" s="5" t="s">
        <v>116</v>
      </c>
      <c r="L410" s="6" t="str">
        <f t="shared" si="59"/>
        <v>EE2</v>
      </c>
      <c r="M410" s="13" t="s">
        <v>1226</v>
      </c>
      <c r="N410" s="7" t="s">
        <v>3652</v>
      </c>
      <c r="O410" s="13" t="s">
        <v>1227</v>
      </c>
      <c r="P410" s="115" t="s">
        <v>1317</v>
      </c>
      <c r="Q410" s="8"/>
      <c r="R410" s="2">
        <v>1</v>
      </c>
      <c r="S410" s="9">
        <v>15000</v>
      </c>
      <c r="T410" s="10">
        <f t="shared" si="60"/>
        <v>7500</v>
      </c>
      <c r="U410" s="9">
        <v>300</v>
      </c>
      <c r="V410" s="10">
        <f t="shared" si="61"/>
        <v>7200</v>
      </c>
      <c r="W410" s="4" t="s">
        <v>122</v>
      </c>
      <c r="X410" s="2"/>
      <c r="Y410" s="11">
        <v>10</v>
      </c>
      <c r="Z410" s="12">
        <f t="shared" si="62"/>
        <v>9</v>
      </c>
      <c r="AA410" s="4" t="s">
        <v>212</v>
      </c>
      <c r="AC410" s="176">
        <f t="shared" si="58"/>
        <v>0.27272727272727271</v>
      </c>
    </row>
    <row r="411" spans="1:29" customFormat="1">
      <c r="A411" s="181"/>
      <c r="B411" s="183">
        <f t="shared" si="63"/>
        <v>12</v>
      </c>
      <c r="C411" s="107" t="str">
        <f t="shared" si="64"/>
        <v>ATK</v>
      </c>
      <c r="D411" s="2" t="s">
        <v>1228</v>
      </c>
      <c r="E411" s="3">
        <v>43908</v>
      </c>
      <c r="F411" s="3">
        <v>43908</v>
      </c>
      <c r="G411" s="108">
        <f t="shared" si="65"/>
        <v>3</v>
      </c>
      <c r="H411" s="108" t="str">
        <f t="shared" si="66"/>
        <v>완료</v>
      </c>
      <c r="I411" s="112" t="s">
        <v>218</v>
      </c>
      <c r="J411" s="4" t="s">
        <v>756</v>
      </c>
      <c r="K411" s="4" t="s">
        <v>756</v>
      </c>
      <c r="L411" s="6" t="str">
        <f t="shared" si="59"/>
        <v>QA</v>
      </c>
      <c r="M411" s="13" t="s">
        <v>756</v>
      </c>
      <c r="N411" s="7" t="s">
        <v>140</v>
      </c>
      <c r="O411" s="13" t="s">
        <v>1229</v>
      </c>
      <c r="P411" s="115" t="s">
        <v>1230</v>
      </c>
      <c r="Q411" s="8"/>
      <c r="R411" s="2">
        <v>1</v>
      </c>
      <c r="S411" s="9">
        <v>50</v>
      </c>
      <c r="T411" s="10">
        <f t="shared" si="60"/>
        <v>25</v>
      </c>
      <c r="U411" s="9">
        <v>0</v>
      </c>
      <c r="V411" s="10">
        <f t="shared" si="61"/>
        <v>25</v>
      </c>
      <c r="W411" s="4" t="s">
        <v>122</v>
      </c>
      <c r="X411" s="2"/>
      <c r="Y411" s="11">
        <v>1</v>
      </c>
      <c r="Z411" s="12">
        <f t="shared" si="62"/>
        <v>0</v>
      </c>
      <c r="AA411" s="4" t="s">
        <v>27</v>
      </c>
      <c r="AC411" s="176">
        <f t="shared" si="58"/>
        <v>0</v>
      </c>
    </row>
    <row r="412" spans="1:29" customFormat="1">
      <c r="A412" s="181"/>
      <c r="B412" s="183">
        <f t="shared" si="63"/>
        <v>12</v>
      </c>
      <c r="C412" s="107" t="str">
        <f t="shared" si="64"/>
        <v>ATK</v>
      </c>
      <c r="D412" s="2" t="s">
        <v>512</v>
      </c>
      <c r="E412" s="3">
        <v>43906</v>
      </c>
      <c r="F412" s="3">
        <v>43908</v>
      </c>
      <c r="G412" s="108">
        <f t="shared" si="65"/>
        <v>3</v>
      </c>
      <c r="H412" s="108" t="str">
        <f t="shared" si="66"/>
        <v>완료</v>
      </c>
      <c r="I412" s="112" t="s">
        <v>218</v>
      </c>
      <c r="J412" s="4" t="s">
        <v>118</v>
      </c>
      <c r="K412" s="5" t="s">
        <v>137</v>
      </c>
      <c r="L412" s="6" t="str">
        <f t="shared" si="59"/>
        <v>2T2</v>
      </c>
      <c r="M412" s="13" t="s">
        <v>256</v>
      </c>
      <c r="N412" s="7" t="s">
        <v>3521</v>
      </c>
      <c r="O412" s="13" t="s">
        <v>482</v>
      </c>
      <c r="P412" s="115" t="s">
        <v>1231</v>
      </c>
      <c r="Q412" s="8"/>
      <c r="R412" s="2">
        <v>2</v>
      </c>
      <c r="S412" s="9">
        <v>1600</v>
      </c>
      <c r="T412" s="10">
        <f t="shared" si="60"/>
        <v>1600</v>
      </c>
      <c r="U412" s="9">
        <v>50</v>
      </c>
      <c r="V412" s="10">
        <f t="shared" si="61"/>
        <v>1550</v>
      </c>
      <c r="W412" s="4" t="s">
        <v>122</v>
      </c>
      <c r="X412" s="2"/>
      <c r="Y412" s="11">
        <v>4</v>
      </c>
      <c r="Z412" s="12">
        <f t="shared" si="62"/>
        <v>2</v>
      </c>
      <c r="AA412" s="4" t="s">
        <v>27</v>
      </c>
      <c r="AC412" s="176">
        <f t="shared" si="58"/>
        <v>4.5454545454545456E-2</v>
      </c>
    </row>
    <row r="413" spans="1:29" customFormat="1">
      <c r="A413" s="181"/>
      <c r="B413" s="183">
        <f t="shared" si="63"/>
        <v>12</v>
      </c>
      <c r="C413" s="107" t="str">
        <f t="shared" si="64"/>
        <v>ATK</v>
      </c>
      <c r="D413" s="2" t="s">
        <v>512</v>
      </c>
      <c r="E413" s="3">
        <v>43906</v>
      </c>
      <c r="F413" s="3">
        <v>43908</v>
      </c>
      <c r="G413" s="108">
        <f t="shared" si="65"/>
        <v>3</v>
      </c>
      <c r="H413" s="108" t="str">
        <f t="shared" si="66"/>
        <v>완료</v>
      </c>
      <c r="I413" s="112" t="s">
        <v>218</v>
      </c>
      <c r="J413" s="4" t="s">
        <v>118</v>
      </c>
      <c r="K413" s="5" t="s">
        <v>137</v>
      </c>
      <c r="L413" s="6" t="str">
        <f t="shared" si="59"/>
        <v>2T2</v>
      </c>
      <c r="M413" s="13" t="s">
        <v>256</v>
      </c>
      <c r="N413" s="7" t="s">
        <v>3529</v>
      </c>
      <c r="O413" s="13" t="s">
        <v>482</v>
      </c>
      <c r="P413" s="115" t="s">
        <v>1232</v>
      </c>
      <c r="Q413" s="8"/>
      <c r="R413" s="2">
        <v>1</v>
      </c>
      <c r="S413" s="9">
        <v>1600</v>
      </c>
      <c r="T413" s="10">
        <f t="shared" si="60"/>
        <v>800</v>
      </c>
      <c r="U413" s="9">
        <v>25</v>
      </c>
      <c r="V413" s="10">
        <f t="shared" si="61"/>
        <v>775</v>
      </c>
      <c r="W413" s="4" t="s">
        <v>122</v>
      </c>
      <c r="X413" s="2"/>
      <c r="Y413" s="11">
        <v>1</v>
      </c>
      <c r="Z413" s="12">
        <f t="shared" si="62"/>
        <v>2</v>
      </c>
      <c r="AA413" s="4" t="s">
        <v>27</v>
      </c>
      <c r="AC413" s="176">
        <f t="shared" si="58"/>
        <v>2.2727272727272728E-2</v>
      </c>
    </row>
    <row r="414" spans="1:29" customFormat="1">
      <c r="A414" s="181"/>
      <c r="B414" s="183">
        <f t="shared" si="63"/>
        <v>12</v>
      </c>
      <c r="C414" s="107" t="str">
        <f t="shared" si="64"/>
        <v>ATK</v>
      </c>
      <c r="D414" s="2" t="s">
        <v>1233</v>
      </c>
      <c r="E414" s="3">
        <v>43908</v>
      </c>
      <c r="F414" s="3">
        <v>43908</v>
      </c>
      <c r="G414" s="108">
        <f t="shared" si="65"/>
        <v>3</v>
      </c>
      <c r="H414" s="108" t="str">
        <f t="shared" si="66"/>
        <v>완료</v>
      </c>
      <c r="I414" s="112" t="s">
        <v>218</v>
      </c>
      <c r="J414" s="4" t="s">
        <v>115</v>
      </c>
      <c r="K414" s="5" t="s">
        <v>116</v>
      </c>
      <c r="L414" s="6" t="str">
        <f t="shared" si="59"/>
        <v>EE2</v>
      </c>
      <c r="M414" s="13" t="s">
        <v>1234</v>
      </c>
      <c r="N414" s="7"/>
      <c r="O414" s="13" t="s">
        <v>315</v>
      </c>
      <c r="P414" s="115" t="s">
        <v>1235</v>
      </c>
      <c r="Q414" s="8"/>
      <c r="R414" s="2">
        <v>1</v>
      </c>
      <c r="S414" s="9">
        <v>300</v>
      </c>
      <c r="T414" s="10">
        <f t="shared" si="60"/>
        <v>150</v>
      </c>
      <c r="U414" s="9">
        <v>3</v>
      </c>
      <c r="V414" s="10">
        <f t="shared" si="61"/>
        <v>147</v>
      </c>
      <c r="W414" s="4" t="s">
        <v>122</v>
      </c>
      <c r="X414" s="2"/>
      <c r="Y414" s="11">
        <v>1</v>
      </c>
      <c r="Z414" s="12">
        <f t="shared" si="62"/>
        <v>0</v>
      </c>
      <c r="AA414" s="4" t="s">
        <v>259</v>
      </c>
      <c r="AC414" s="176">
        <f t="shared" si="58"/>
        <v>2.7272727272727275E-3</v>
      </c>
    </row>
    <row r="415" spans="1:29" customFormat="1">
      <c r="A415" s="181"/>
      <c r="B415" s="183">
        <f t="shared" si="63"/>
        <v>12</v>
      </c>
      <c r="C415" s="107" t="str">
        <f t="shared" si="64"/>
        <v>ATK</v>
      </c>
      <c r="D415" s="2" t="s">
        <v>1237</v>
      </c>
      <c r="E415" s="3">
        <v>43908</v>
      </c>
      <c r="F415" s="3">
        <v>43908</v>
      </c>
      <c r="G415" s="108">
        <f t="shared" si="65"/>
        <v>3</v>
      </c>
      <c r="H415" s="108" t="str">
        <f t="shared" si="66"/>
        <v>완료</v>
      </c>
      <c r="I415" s="112" t="s">
        <v>218</v>
      </c>
      <c r="J415" s="4" t="s">
        <v>132</v>
      </c>
      <c r="K415" s="5" t="s">
        <v>143</v>
      </c>
      <c r="L415" s="6" t="str">
        <f t="shared" si="59"/>
        <v>3T4</v>
      </c>
      <c r="M415" s="13" t="s">
        <v>1238</v>
      </c>
      <c r="N415" s="7" t="s">
        <v>3548</v>
      </c>
      <c r="O415" s="13" t="s">
        <v>367</v>
      </c>
      <c r="P415" s="115" t="s">
        <v>1236</v>
      </c>
      <c r="Q415" s="8"/>
      <c r="R415" s="2">
        <v>1</v>
      </c>
      <c r="S415" s="9">
        <v>500</v>
      </c>
      <c r="T415" s="10">
        <f t="shared" si="60"/>
        <v>250</v>
      </c>
      <c r="U415" s="9">
        <v>10</v>
      </c>
      <c r="V415" s="10">
        <f t="shared" si="61"/>
        <v>240</v>
      </c>
      <c r="W415" s="4" t="s">
        <v>122</v>
      </c>
      <c r="X415" s="2"/>
      <c r="Y415" s="11">
        <v>7</v>
      </c>
      <c r="Z415" s="12">
        <f t="shared" si="62"/>
        <v>0</v>
      </c>
      <c r="AA415" s="4" t="s">
        <v>259</v>
      </c>
      <c r="AC415" s="176">
        <f t="shared" si="58"/>
        <v>9.0909090909090905E-3</v>
      </c>
    </row>
    <row r="416" spans="1:29" customFormat="1">
      <c r="A416" s="181"/>
      <c r="B416" s="183">
        <f t="shared" si="63"/>
        <v>12</v>
      </c>
      <c r="C416" s="107" t="str">
        <f t="shared" si="64"/>
        <v>ATK</v>
      </c>
      <c r="D416" s="2" t="s">
        <v>1239</v>
      </c>
      <c r="E416" s="3">
        <v>43888</v>
      </c>
      <c r="F416" s="3">
        <v>43908</v>
      </c>
      <c r="G416" s="108">
        <f t="shared" si="65"/>
        <v>3</v>
      </c>
      <c r="H416" s="108" t="str">
        <f t="shared" si="66"/>
        <v>완료</v>
      </c>
      <c r="I416" s="112" t="s">
        <v>218</v>
      </c>
      <c r="J416" s="4" t="s">
        <v>118</v>
      </c>
      <c r="K416" s="5" t="s">
        <v>134</v>
      </c>
      <c r="L416" s="6" t="str">
        <f t="shared" si="59"/>
        <v>2T1</v>
      </c>
      <c r="M416" s="13" t="s">
        <v>1240</v>
      </c>
      <c r="N416" s="7" t="s">
        <v>3478</v>
      </c>
      <c r="O416" s="13" t="s">
        <v>1241</v>
      </c>
      <c r="P416" s="115" t="s">
        <v>330</v>
      </c>
      <c r="Q416" s="8"/>
      <c r="R416" s="2">
        <v>1</v>
      </c>
      <c r="S416" s="9">
        <v>4000</v>
      </c>
      <c r="T416" s="10">
        <f t="shared" si="60"/>
        <v>2000</v>
      </c>
      <c r="U416" s="9">
        <v>1600</v>
      </c>
      <c r="V416" s="10">
        <f t="shared" si="61"/>
        <v>400</v>
      </c>
      <c r="W416" s="4" t="s">
        <v>122</v>
      </c>
      <c r="X416" s="2"/>
      <c r="Y416" s="11">
        <v>3</v>
      </c>
      <c r="Z416" s="12">
        <f t="shared" si="62"/>
        <v>20</v>
      </c>
      <c r="AA416" s="4" t="s">
        <v>117</v>
      </c>
      <c r="AC416" s="176">
        <f t="shared" si="58"/>
        <v>1.4545454545454546</v>
      </c>
    </row>
    <row r="417" spans="1:29" customFormat="1">
      <c r="A417" s="181"/>
      <c r="B417" s="183">
        <f t="shared" si="63"/>
        <v>12</v>
      </c>
      <c r="C417" s="107" t="str">
        <f t="shared" si="64"/>
        <v>ATK</v>
      </c>
      <c r="D417" s="2" t="s">
        <v>1243</v>
      </c>
      <c r="E417" s="3">
        <v>43908</v>
      </c>
      <c r="F417" s="3">
        <v>43908</v>
      </c>
      <c r="G417" s="108">
        <f t="shared" si="65"/>
        <v>3</v>
      </c>
      <c r="H417" s="108" t="str">
        <f t="shared" si="66"/>
        <v>완료</v>
      </c>
      <c r="I417" s="112" t="s">
        <v>218</v>
      </c>
      <c r="J417" s="4" t="s">
        <v>115</v>
      </c>
      <c r="K417" s="5" t="s">
        <v>138</v>
      </c>
      <c r="L417" s="6" t="str">
        <f t="shared" si="59"/>
        <v>EE1</v>
      </c>
      <c r="M417" s="13" t="s">
        <v>256</v>
      </c>
      <c r="N417" s="7" t="s">
        <v>3529</v>
      </c>
      <c r="O417" s="13" t="s">
        <v>1242</v>
      </c>
      <c r="P417" s="115" t="s">
        <v>1248</v>
      </c>
      <c r="Q417" s="8"/>
      <c r="R417" s="2">
        <v>1</v>
      </c>
      <c r="S417" s="9">
        <v>1500</v>
      </c>
      <c r="T417" s="10">
        <f t="shared" si="60"/>
        <v>750</v>
      </c>
      <c r="U417" s="9">
        <v>120</v>
      </c>
      <c r="V417" s="10">
        <f t="shared" si="61"/>
        <v>630</v>
      </c>
      <c r="W417" s="4" t="s">
        <v>122</v>
      </c>
      <c r="X417" s="2"/>
      <c r="Y417" s="11">
        <v>8</v>
      </c>
      <c r="Z417" s="12">
        <f t="shared" si="62"/>
        <v>0</v>
      </c>
      <c r="AA417" s="4" t="s">
        <v>212</v>
      </c>
      <c r="AC417" s="176">
        <f t="shared" si="58"/>
        <v>0.10909090909090909</v>
      </c>
    </row>
    <row r="418" spans="1:29" customFormat="1">
      <c r="A418" s="181"/>
      <c r="B418" s="183">
        <f t="shared" si="63"/>
        <v>14</v>
      </c>
      <c r="C418" s="107" t="str">
        <f t="shared" si="64"/>
        <v>ATK</v>
      </c>
      <c r="D418" s="2" t="s">
        <v>1244</v>
      </c>
      <c r="E418" s="3">
        <v>43908</v>
      </c>
      <c r="F418" s="3">
        <v>43920</v>
      </c>
      <c r="G418" s="108">
        <f t="shared" si="65"/>
        <v>3</v>
      </c>
      <c r="H418" s="108" t="str">
        <f t="shared" si="66"/>
        <v>완료</v>
      </c>
      <c r="I418" s="112" t="s">
        <v>218</v>
      </c>
      <c r="J418" s="4" t="s">
        <v>115</v>
      </c>
      <c r="K418" s="5" t="s">
        <v>138</v>
      </c>
      <c r="L418" s="6" t="str">
        <f t="shared" si="59"/>
        <v>EE1</v>
      </c>
      <c r="M418" s="13" t="s">
        <v>1245</v>
      </c>
      <c r="N418" s="7" t="s">
        <v>3668</v>
      </c>
      <c r="O418" s="13" t="s">
        <v>1247</v>
      </c>
      <c r="P418" s="115" t="s">
        <v>1375</v>
      </c>
      <c r="Q418" s="8"/>
      <c r="R418" s="2">
        <v>2</v>
      </c>
      <c r="S418" s="9">
        <v>2000</v>
      </c>
      <c r="T418" s="10">
        <f t="shared" si="60"/>
        <v>2000</v>
      </c>
      <c r="U418" s="9">
        <v>50</v>
      </c>
      <c r="V418" s="10">
        <f t="shared" si="61"/>
        <v>1950</v>
      </c>
      <c r="W418" s="4" t="s">
        <v>1425</v>
      </c>
      <c r="X418" s="2"/>
      <c r="Y418" s="11">
        <v>4</v>
      </c>
      <c r="Z418" s="12">
        <f t="shared" si="62"/>
        <v>12</v>
      </c>
      <c r="AA418" s="4" t="s">
        <v>212</v>
      </c>
      <c r="AC418" s="176">
        <f t="shared" si="58"/>
        <v>4.5454545454545456E-2</v>
      </c>
    </row>
    <row r="419" spans="1:29" customFormat="1">
      <c r="A419" s="181"/>
      <c r="B419" s="183">
        <f t="shared" si="63"/>
        <v>12</v>
      </c>
      <c r="C419" s="107" t="str">
        <f t="shared" si="64"/>
        <v>ATK</v>
      </c>
      <c r="D419" s="2" t="s">
        <v>652</v>
      </c>
      <c r="E419" s="3">
        <v>43908</v>
      </c>
      <c r="F419" s="3">
        <v>43909</v>
      </c>
      <c r="G419" s="108">
        <f t="shared" si="65"/>
        <v>3</v>
      </c>
      <c r="H419" s="108" t="str">
        <f t="shared" si="66"/>
        <v>완료</v>
      </c>
      <c r="I419" s="112" t="s">
        <v>218</v>
      </c>
      <c r="J419" s="4" t="s">
        <v>281</v>
      </c>
      <c r="K419" s="5" t="s">
        <v>332</v>
      </c>
      <c r="L419" s="6" t="str">
        <f t="shared" si="59"/>
        <v>EE2</v>
      </c>
      <c r="M419" s="13" t="s">
        <v>256</v>
      </c>
      <c r="N419" s="7" t="s">
        <v>3594</v>
      </c>
      <c r="O419" s="13" t="s">
        <v>985</v>
      </c>
      <c r="P419" s="115"/>
      <c r="Q419" s="8"/>
      <c r="R419" s="2">
        <v>1</v>
      </c>
      <c r="S419" s="9">
        <v>500</v>
      </c>
      <c r="T419" s="10">
        <f t="shared" si="60"/>
        <v>250</v>
      </c>
      <c r="U419" s="9">
        <v>100</v>
      </c>
      <c r="V419" s="10">
        <f t="shared" si="61"/>
        <v>150</v>
      </c>
      <c r="W419" s="4" t="s">
        <v>122</v>
      </c>
      <c r="X419" s="2"/>
      <c r="Y419" s="11">
        <v>1</v>
      </c>
      <c r="Z419" s="12">
        <f t="shared" si="62"/>
        <v>1</v>
      </c>
      <c r="AA419" s="4" t="s">
        <v>27</v>
      </c>
      <c r="AC419" s="176">
        <f t="shared" si="58"/>
        <v>9.0909090909090912E-2</v>
      </c>
    </row>
    <row r="420" spans="1:29" customFormat="1">
      <c r="A420" s="181"/>
      <c r="B420" s="183">
        <f t="shared" si="63"/>
        <v>12</v>
      </c>
      <c r="C420" s="107" t="str">
        <f t="shared" si="64"/>
        <v>ATK</v>
      </c>
      <c r="D420" s="2" t="s">
        <v>280</v>
      </c>
      <c r="E420" s="3">
        <v>43909</v>
      </c>
      <c r="F420" s="3">
        <v>43909</v>
      </c>
      <c r="G420" s="108">
        <f t="shared" si="65"/>
        <v>3</v>
      </c>
      <c r="H420" s="108" t="str">
        <f t="shared" si="66"/>
        <v>완료</v>
      </c>
      <c r="I420" s="112" t="s">
        <v>218</v>
      </c>
      <c r="J420" s="4" t="s">
        <v>281</v>
      </c>
      <c r="K420" s="5" t="s">
        <v>282</v>
      </c>
      <c r="L420" s="6" t="str">
        <f t="shared" si="59"/>
        <v>EE1</v>
      </c>
      <c r="M420" s="13" t="s">
        <v>1143</v>
      </c>
      <c r="N420" s="7" t="s">
        <v>3669</v>
      </c>
      <c r="O420" s="13" t="s">
        <v>1249</v>
      </c>
      <c r="P420" s="115" t="s">
        <v>1250</v>
      </c>
      <c r="Q420" s="8"/>
      <c r="R420" s="2">
        <v>1</v>
      </c>
      <c r="S420" s="9">
        <v>1000</v>
      </c>
      <c r="T420" s="10">
        <f t="shared" si="60"/>
        <v>500</v>
      </c>
      <c r="U420" s="9">
        <v>5</v>
      </c>
      <c r="V420" s="10">
        <f t="shared" si="61"/>
        <v>495</v>
      </c>
      <c r="W420" s="4" t="s">
        <v>122</v>
      </c>
      <c r="X420" s="2"/>
      <c r="Y420" s="11">
        <v>1</v>
      </c>
      <c r="Z420" s="12">
        <f t="shared" si="62"/>
        <v>0</v>
      </c>
      <c r="AA420" s="4" t="s">
        <v>27</v>
      </c>
      <c r="AC420" s="176">
        <f t="shared" si="58"/>
        <v>4.5454545454545452E-3</v>
      </c>
    </row>
    <row r="421" spans="1:29" customFormat="1">
      <c r="A421" s="181"/>
      <c r="B421" s="183">
        <f t="shared" si="63"/>
        <v>12</v>
      </c>
      <c r="C421" s="107" t="str">
        <f t="shared" si="64"/>
        <v>ATK</v>
      </c>
      <c r="D421" s="2" t="s">
        <v>768</v>
      </c>
      <c r="E421" s="3">
        <v>43906</v>
      </c>
      <c r="F421" s="3">
        <v>43908</v>
      </c>
      <c r="G421" s="108">
        <f t="shared" si="65"/>
        <v>3</v>
      </c>
      <c r="H421" s="108" t="str">
        <f t="shared" si="66"/>
        <v>완료</v>
      </c>
      <c r="I421" s="112" t="s">
        <v>218</v>
      </c>
      <c r="J421" s="4" t="s">
        <v>132</v>
      </c>
      <c r="K421" s="5" t="s">
        <v>134</v>
      </c>
      <c r="L421" s="6" t="str">
        <f t="shared" si="59"/>
        <v>2T1</v>
      </c>
      <c r="M421" s="13" t="s">
        <v>270</v>
      </c>
      <c r="N421" s="7" t="s">
        <v>3560</v>
      </c>
      <c r="O421" s="13" t="s">
        <v>270</v>
      </c>
      <c r="P421" s="115" t="s">
        <v>1251</v>
      </c>
      <c r="Q421" s="8" t="s">
        <v>1252</v>
      </c>
      <c r="R421" s="2">
        <v>1</v>
      </c>
      <c r="S421" s="9">
        <v>970</v>
      </c>
      <c r="T421" s="10">
        <f t="shared" si="60"/>
        <v>485</v>
      </c>
      <c r="U421" s="9">
        <v>0</v>
      </c>
      <c r="V421" s="10">
        <f t="shared" si="61"/>
        <v>485</v>
      </c>
      <c r="W421" s="4" t="s">
        <v>122</v>
      </c>
      <c r="X421" s="2"/>
      <c r="Y421" s="11">
        <v>3</v>
      </c>
      <c r="Z421" s="12">
        <f t="shared" si="62"/>
        <v>2</v>
      </c>
      <c r="AA421" s="4" t="s">
        <v>120</v>
      </c>
      <c r="AC421" s="176">
        <f t="shared" si="58"/>
        <v>0</v>
      </c>
    </row>
    <row r="422" spans="1:29" customFormat="1">
      <c r="A422" s="181"/>
      <c r="B422" s="183">
        <f t="shared" si="63"/>
        <v>12</v>
      </c>
      <c r="C422" s="107" t="str">
        <f t="shared" si="64"/>
        <v>ATK</v>
      </c>
      <c r="D422" s="2" t="s">
        <v>1253</v>
      </c>
      <c r="E422" s="3">
        <v>43908</v>
      </c>
      <c r="F422" s="3">
        <v>43909</v>
      </c>
      <c r="G422" s="108">
        <f t="shared" si="65"/>
        <v>3</v>
      </c>
      <c r="H422" s="108" t="str">
        <f t="shared" si="66"/>
        <v>완료</v>
      </c>
      <c r="I422" s="112" t="s">
        <v>218</v>
      </c>
      <c r="J422" s="4" t="s">
        <v>115</v>
      </c>
      <c r="K422" s="5" t="s">
        <v>116</v>
      </c>
      <c r="L422" s="6" t="str">
        <f t="shared" si="59"/>
        <v>EE2</v>
      </c>
      <c r="M422" s="13" t="s">
        <v>226</v>
      </c>
      <c r="N422" s="7" t="s">
        <v>3622</v>
      </c>
      <c r="O422" s="13" t="s">
        <v>1254</v>
      </c>
      <c r="P422" s="115"/>
      <c r="Q422" s="8"/>
      <c r="R422" s="2">
        <v>1</v>
      </c>
      <c r="S422" s="9">
        <v>600</v>
      </c>
      <c r="T422" s="10">
        <f t="shared" si="60"/>
        <v>300</v>
      </c>
      <c r="U422" s="9">
        <v>2</v>
      </c>
      <c r="V422" s="10">
        <f t="shared" si="61"/>
        <v>298</v>
      </c>
      <c r="W422" s="4" t="s">
        <v>122</v>
      </c>
      <c r="X422" s="2"/>
      <c r="Y422" s="11">
        <v>2</v>
      </c>
      <c r="Z422" s="12">
        <f t="shared" si="62"/>
        <v>1</v>
      </c>
      <c r="AA422" s="4" t="s">
        <v>117</v>
      </c>
      <c r="AC422" s="176">
        <f t="shared" si="58"/>
        <v>1.8181818181818182E-3</v>
      </c>
    </row>
    <row r="423" spans="1:29" customFormat="1">
      <c r="A423" s="181"/>
      <c r="B423" s="183">
        <f t="shared" si="63"/>
        <v>18</v>
      </c>
      <c r="C423" s="107" t="str">
        <f t="shared" si="64"/>
        <v>ATK</v>
      </c>
      <c r="D423" s="2" t="s">
        <v>734</v>
      </c>
      <c r="E423" s="3">
        <v>43900</v>
      </c>
      <c r="F423" s="3">
        <v>43949</v>
      </c>
      <c r="G423" s="108">
        <f t="shared" si="65"/>
        <v>4</v>
      </c>
      <c r="H423" s="108" t="str">
        <f t="shared" si="66"/>
        <v>완료</v>
      </c>
      <c r="I423" s="112" t="s">
        <v>514</v>
      </c>
      <c r="J423" s="4" t="s">
        <v>243</v>
      </c>
      <c r="K423" s="5" t="s">
        <v>177</v>
      </c>
      <c r="L423" s="6" t="str">
        <f t="shared" si="59"/>
        <v>Bum</v>
      </c>
      <c r="M423" s="13" t="s">
        <v>1255</v>
      </c>
      <c r="N423" s="7" t="s">
        <v>3670</v>
      </c>
      <c r="O423" s="13" t="s">
        <v>1256</v>
      </c>
      <c r="P423" s="115"/>
      <c r="Q423" s="8"/>
      <c r="R423" s="2">
        <v>1</v>
      </c>
      <c r="S423" s="9">
        <v>3900</v>
      </c>
      <c r="T423" s="10">
        <f t="shared" si="60"/>
        <v>1950</v>
      </c>
      <c r="U423" s="9">
        <v>500</v>
      </c>
      <c r="V423" s="10">
        <f t="shared" si="61"/>
        <v>1450</v>
      </c>
      <c r="W423" s="4" t="s">
        <v>123</v>
      </c>
      <c r="X423" s="2" t="s">
        <v>124</v>
      </c>
      <c r="Y423" s="11">
        <v>9</v>
      </c>
      <c r="Z423" s="12">
        <f t="shared" si="62"/>
        <v>49</v>
      </c>
      <c r="AA423" s="4" t="s">
        <v>117</v>
      </c>
      <c r="AC423" s="176">
        <f t="shared" si="58"/>
        <v>0.45454545454545453</v>
      </c>
    </row>
    <row r="424" spans="1:29" customFormat="1">
      <c r="A424" s="181"/>
      <c r="B424" s="183">
        <f t="shared" si="63"/>
        <v>12</v>
      </c>
      <c r="C424" s="107" t="str">
        <f t="shared" si="64"/>
        <v>ATK</v>
      </c>
      <c r="D424" s="2" t="s">
        <v>455</v>
      </c>
      <c r="E424" s="3">
        <v>43909</v>
      </c>
      <c r="F424" s="3">
        <v>43909</v>
      </c>
      <c r="G424" s="108">
        <f t="shared" si="65"/>
        <v>3</v>
      </c>
      <c r="H424" s="108" t="str">
        <f t="shared" si="66"/>
        <v>완료</v>
      </c>
      <c r="I424" s="112" t="s">
        <v>218</v>
      </c>
      <c r="J424" s="4" t="s">
        <v>132</v>
      </c>
      <c r="K424" s="5" t="s">
        <v>119</v>
      </c>
      <c r="L424" s="6" t="str">
        <f t="shared" si="59"/>
        <v>2T3</v>
      </c>
      <c r="M424" s="13" t="s">
        <v>730</v>
      </c>
      <c r="N424" s="7" t="s">
        <v>157</v>
      </c>
      <c r="O424" s="13" t="s">
        <v>1257</v>
      </c>
      <c r="P424" s="115" t="s">
        <v>1258</v>
      </c>
      <c r="Q424" s="8"/>
      <c r="R424" s="2">
        <v>1</v>
      </c>
      <c r="S424" s="9">
        <v>1000</v>
      </c>
      <c r="T424" s="10">
        <f t="shared" si="60"/>
        <v>500</v>
      </c>
      <c r="U424" s="9">
        <v>50</v>
      </c>
      <c r="V424" s="10">
        <f t="shared" si="61"/>
        <v>450</v>
      </c>
      <c r="W424" s="4" t="s">
        <v>122</v>
      </c>
      <c r="X424" s="2"/>
      <c r="Y424" s="11">
        <v>3</v>
      </c>
      <c r="Z424" s="12">
        <f t="shared" si="62"/>
        <v>0</v>
      </c>
      <c r="AA424" s="4" t="s">
        <v>27</v>
      </c>
      <c r="AC424" s="176">
        <f t="shared" si="58"/>
        <v>4.5454545454545456E-2</v>
      </c>
    </row>
    <row r="425" spans="1:29" customFormat="1">
      <c r="A425" s="181"/>
      <c r="B425" s="183">
        <f t="shared" si="63"/>
        <v>12</v>
      </c>
      <c r="C425" s="107" t="str">
        <f t="shared" si="64"/>
        <v>ATK</v>
      </c>
      <c r="D425" s="2" t="s">
        <v>255</v>
      </c>
      <c r="E425" s="3">
        <v>43899</v>
      </c>
      <c r="F425" s="3">
        <v>43909</v>
      </c>
      <c r="G425" s="108">
        <f t="shared" si="65"/>
        <v>3</v>
      </c>
      <c r="H425" s="108" t="str">
        <f t="shared" si="66"/>
        <v>완료</v>
      </c>
      <c r="I425" s="112" t="s">
        <v>218</v>
      </c>
      <c r="J425" s="4" t="s">
        <v>127</v>
      </c>
      <c r="K425" s="5" t="s">
        <v>135</v>
      </c>
      <c r="L425" s="6" t="str">
        <f t="shared" si="59"/>
        <v>1T3</v>
      </c>
      <c r="M425" s="13" t="s">
        <v>256</v>
      </c>
      <c r="N425" s="7" t="s">
        <v>3529</v>
      </c>
      <c r="O425" s="13" t="s">
        <v>478</v>
      </c>
      <c r="P425" s="115" t="s">
        <v>1260</v>
      </c>
      <c r="Q425" s="8"/>
      <c r="R425" s="2">
        <v>1</v>
      </c>
      <c r="S425" s="9">
        <v>1600</v>
      </c>
      <c r="T425" s="10">
        <f t="shared" si="60"/>
        <v>800</v>
      </c>
      <c r="U425" s="9">
        <v>50</v>
      </c>
      <c r="V425" s="10">
        <f t="shared" si="61"/>
        <v>750</v>
      </c>
      <c r="W425" s="4" t="s">
        <v>122</v>
      </c>
      <c r="X425" s="2"/>
      <c r="Y425" s="11">
        <v>3</v>
      </c>
      <c r="Z425" s="12">
        <f t="shared" si="62"/>
        <v>10</v>
      </c>
      <c r="AA425" s="4" t="s">
        <v>27</v>
      </c>
      <c r="AC425" s="176">
        <f t="shared" si="58"/>
        <v>4.5454545454545456E-2</v>
      </c>
    </row>
    <row r="426" spans="1:29" customFormat="1">
      <c r="A426" s="181"/>
      <c r="B426" s="183">
        <f t="shared" si="63"/>
        <v>12</v>
      </c>
      <c r="C426" s="107" t="str">
        <f t="shared" si="64"/>
        <v>ATK</v>
      </c>
      <c r="D426" s="2" t="s">
        <v>1222</v>
      </c>
      <c r="E426" s="3">
        <v>43910</v>
      </c>
      <c r="F426" s="3">
        <v>43910</v>
      </c>
      <c r="G426" s="108">
        <f t="shared" si="65"/>
        <v>3</v>
      </c>
      <c r="H426" s="108" t="str">
        <f t="shared" si="66"/>
        <v>완료</v>
      </c>
      <c r="I426" s="112" t="s">
        <v>218</v>
      </c>
      <c r="J426" s="4" t="s">
        <v>281</v>
      </c>
      <c r="K426" s="5" t="s">
        <v>332</v>
      </c>
      <c r="L426" s="6" t="str">
        <f t="shared" si="59"/>
        <v>EE2</v>
      </c>
      <c r="M426" s="13" t="s">
        <v>256</v>
      </c>
      <c r="N426" s="7" t="s">
        <v>3594</v>
      </c>
      <c r="O426" s="13" t="s">
        <v>1142</v>
      </c>
      <c r="P426" s="115" t="s">
        <v>1261</v>
      </c>
      <c r="Q426" s="8"/>
      <c r="R426" s="2">
        <v>1</v>
      </c>
      <c r="S426" s="9">
        <v>3500</v>
      </c>
      <c r="T426" s="10">
        <f t="shared" si="60"/>
        <v>1750</v>
      </c>
      <c r="U426" s="9">
        <v>0</v>
      </c>
      <c r="V426" s="10">
        <f t="shared" si="61"/>
        <v>1750</v>
      </c>
      <c r="W426" s="4" t="s">
        <v>122</v>
      </c>
      <c r="X426" s="2"/>
      <c r="Y426" s="11">
        <v>4</v>
      </c>
      <c r="Z426" s="12">
        <f t="shared" si="62"/>
        <v>0</v>
      </c>
      <c r="AA426" s="4" t="s">
        <v>27</v>
      </c>
      <c r="AC426" s="176">
        <f t="shared" si="58"/>
        <v>0</v>
      </c>
    </row>
    <row r="427" spans="1:29" customFormat="1">
      <c r="A427" s="181"/>
      <c r="B427" s="183">
        <f t="shared" si="63"/>
        <v>12</v>
      </c>
      <c r="C427" s="107" t="str">
        <f t="shared" si="64"/>
        <v>ATK</v>
      </c>
      <c r="D427" s="2" t="s">
        <v>1262</v>
      </c>
      <c r="E427" s="3">
        <v>43910</v>
      </c>
      <c r="F427" s="3">
        <v>43910</v>
      </c>
      <c r="G427" s="108">
        <f t="shared" si="65"/>
        <v>3</v>
      </c>
      <c r="H427" s="108" t="str">
        <f t="shared" si="66"/>
        <v>완료</v>
      </c>
      <c r="I427" s="112" t="s">
        <v>218</v>
      </c>
      <c r="J427" s="4" t="s">
        <v>132</v>
      </c>
      <c r="K427" s="5" t="s">
        <v>322</v>
      </c>
      <c r="L427" s="6" t="str">
        <f t="shared" si="59"/>
        <v>3T1</v>
      </c>
      <c r="M427" s="13" t="s">
        <v>226</v>
      </c>
      <c r="N427" s="7" t="s">
        <v>3622</v>
      </c>
      <c r="O427" s="13" t="s">
        <v>1263</v>
      </c>
      <c r="P427" s="115"/>
      <c r="Q427" s="8"/>
      <c r="R427" s="2">
        <v>1</v>
      </c>
      <c r="S427" s="9">
        <v>600</v>
      </c>
      <c r="T427" s="10">
        <f t="shared" si="60"/>
        <v>300</v>
      </c>
      <c r="U427" s="9">
        <v>14</v>
      </c>
      <c r="V427" s="10">
        <f t="shared" si="61"/>
        <v>286</v>
      </c>
      <c r="W427" s="4" t="s">
        <v>122</v>
      </c>
      <c r="X427" s="2"/>
      <c r="Y427" s="11">
        <v>2</v>
      </c>
      <c r="Z427" s="12">
        <f t="shared" si="62"/>
        <v>0</v>
      </c>
      <c r="AA427" s="4" t="s">
        <v>117</v>
      </c>
      <c r="AC427" s="176">
        <f t="shared" si="58"/>
        <v>1.2727272727272728E-2</v>
      </c>
    </row>
    <row r="428" spans="1:29" customFormat="1">
      <c r="A428" s="181"/>
      <c r="B428" s="183">
        <f t="shared" si="63"/>
        <v>12</v>
      </c>
      <c r="C428" s="107" t="str">
        <f t="shared" si="64"/>
        <v>ATK</v>
      </c>
      <c r="D428" s="2" t="s">
        <v>1264</v>
      </c>
      <c r="E428" s="3">
        <v>43908</v>
      </c>
      <c r="F428" s="3">
        <v>43910</v>
      </c>
      <c r="G428" s="108">
        <f t="shared" si="65"/>
        <v>3</v>
      </c>
      <c r="H428" s="108" t="str">
        <f t="shared" si="66"/>
        <v>완료</v>
      </c>
      <c r="I428" s="112" t="s">
        <v>218</v>
      </c>
      <c r="J428" s="4" t="s">
        <v>118</v>
      </c>
      <c r="K428" s="5" t="s">
        <v>137</v>
      </c>
      <c r="L428" s="6" t="str">
        <f t="shared" si="59"/>
        <v>2T2</v>
      </c>
      <c r="M428" s="13" t="s">
        <v>256</v>
      </c>
      <c r="N428" s="7" t="s">
        <v>3522</v>
      </c>
      <c r="O428" s="13" t="s">
        <v>1265</v>
      </c>
      <c r="P428" s="115" t="s">
        <v>1266</v>
      </c>
      <c r="Q428" s="8"/>
      <c r="R428" s="2">
        <v>1</v>
      </c>
      <c r="S428" s="9">
        <v>3500</v>
      </c>
      <c r="T428" s="10">
        <f t="shared" si="60"/>
        <v>1750</v>
      </c>
      <c r="U428" s="9">
        <v>50</v>
      </c>
      <c r="V428" s="10">
        <f t="shared" si="61"/>
        <v>1700</v>
      </c>
      <c r="W428" s="4" t="s">
        <v>122</v>
      </c>
      <c r="X428" s="2"/>
      <c r="Y428" s="11">
        <v>8</v>
      </c>
      <c r="Z428" s="12">
        <f t="shared" si="62"/>
        <v>2</v>
      </c>
      <c r="AA428" s="4" t="s">
        <v>259</v>
      </c>
      <c r="AC428" s="176">
        <f t="shared" si="58"/>
        <v>4.5454545454545456E-2</v>
      </c>
    </row>
    <row r="429" spans="1:29" customFormat="1">
      <c r="A429" s="181"/>
      <c r="B429" s="183">
        <f t="shared" si="63"/>
        <v>13</v>
      </c>
      <c r="C429" s="107" t="str">
        <f t="shared" si="64"/>
        <v>ATK</v>
      </c>
      <c r="D429" s="2" t="s">
        <v>312</v>
      </c>
      <c r="E429" s="3">
        <v>43910</v>
      </c>
      <c r="F429" s="3">
        <v>43913</v>
      </c>
      <c r="G429" s="108">
        <f t="shared" si="65"/>
        <v>3</v>
      </c>
      <c r="H429" s="108" t="str">
        <f t="shared" si="66"/>
        <v>완료</v>
      </c>
      <c r="I429" s="112" t="s">
        <v>218</v>
      </c>
      <c r="J429" s="4" t="s">
        <v>118</v>
      </c>
      <c r="K429" s="5" t="s">
        <v>137</v>
      </c>
      <c r="L429" s="6" t="str">
        <f t="shared" si="59"/>
        <v>2T2</v>
      </c>
      <c r="M429" s="13" t="s">
        <v>256</v>
      </c>
      <c r="N429" s="7" t="s">
        <v>3521</v>
      </c>
      <c r="O429" s="13" t="s">
        <v>894</v>
      </c>
      <c r="P429" s="115" t="s">
        <v>1267</v>
      </c>
      <c r="Q429" s="8"/>
      <c r="R429" s="2">
        <v>1</v>
      </c>
      <c r="S429" s="9">
        <v>1600</v>
      </c>
      <c r="T429" s="10">
        <f t="shared" si="60"/>
        <v>800</v>
      </c>
      <c r="U429" s="9">
        <v>50</v>
      </c>
      <c r="V429" s="10">
        <f t="shared" si="61"/>
        <v>750</v>
      </c>
      <c r="W429" s="4" t="s">
        <v>122</v>
      </c>
      <c r="X429" s="2"/>
      <c r="Y429" s="11">
        <v>4</v>
      </c>
      <c r="Z429" s="12">
        <f t="shared" si="62"/>
        <v>3</v>
      </c>
      <c r="AA429" s="4" t="s">
        <v>27</v>
      </c>
      <c r="AC429" s="176">
        <f t="shared" si="58"/>
        <v>4.5454545454545456E-2</v>
      </c>
    </row>
    <row r="430" spans="1:29" customFormat="1">
      <c r="A430" s="181"/>
      <c r="B430" s="183">
        <f t="shared" si="63"/>
        <v>13</v>
      </c>
      <c r="C430" s="107" t="str">
        <f t="shared" si="64"/>
        <v>ATK</v>
      </c>
      <c r="D430" s="2" t="s">
        <v>1277</v>
      </c>
      <c r="E430" s="3">
        <v>43913</v>
      </c>
      <c r="F430" s="3">
        <v>43913</v>
      </c>
      <c r="G430" s="108">
        <f t="shared" si="65"/>
        <v>3</v>
      </c>
      <c r="H430" s="108" t="str">
        <f t="shared" si="66"/>
        <v>완료</v>
      </c>
      <c r="I430" s="112" t="s">
        <v>218</v>
      </c>
      <c r="J430" s="4" t="s">
        <v>115</v>
      </c>
      <c r="K430" s="5" t="s">
        <v>116</v>
      </c>
      <c r="L430" s="6" t="str">
        <f t="shared" si="59"/>
        <v>EE2</v>
      </c>
      <c r="M430" s="13" t="s">
        <v>1268</v>
      </c>
      <c r="N430" s="7" t="s">
        <v>3671</v>
      </c>
      <c r="O430" s="7" t="s">
        <v>1269</v>
      </c>
      <c r="P430" s="115" t="s">
        <v>1281</v>
      </c>
      <c r="Q430" s="8"/>
      <c r="R430" s="2">
        <v>2</v>
      </c>
      <c r="S430" s="9">
        <v>1000</v>
      </c>
      <c r="T430" s="10">
        <f t="shared" si="60"/>
        <v>1000</v>
      </c>
      <c r="U430" s="9">
        <v>10</v>
      </c>
      <c r="V430" s="10">
        <f t="shared" si="61"/>
        <v>990</v>
      </c>
      <c r="W430" s="4" t="s">
        <v>122</v>
      </c>
      <c r="X430" s="2"/>
      <c r="Y430" s="11">
        <v>8</v>
      </c>
      <c r="Z430" s="12">
        <f t="shared" si="62"/>
        <v>0</v>
      </c>
      <c r="AA430" s="4" t="s">
        <v>212</v>
      </c>
      <c r="AC430" s="176">
        <f t="shared" si="58"/>
        <v>9.0909090909090905E-3</v>
      </c>
    </row>
    <row r="431" spans="1:29" customFormat="1">
      <c r="A431" s="181"/>
      <c r="B431" s="183">
        <f t="shared" si="63"/>
        <v>13</v>
      </c>
      <c r="C431" s="107" t="str">
        <f t="shared" si="64"/>
        <v>ATK</v>
      </c>
      <c r="D431" s="2" t="s">
        <v>1270</v>
      </c>
      <c r="E431" s="3">
        <v>43913</v>
      </c>
      <c r="F431" s="3">
        <v>43913</v>
      </c>
      <c r="G431" s="108">
        <f t="shared" si="65"/>
        <v>3</v>
      </c>
      <c r="H431" s="108" t="str">
        <f t="shared" si="66"/>
        <v>완료</v>
      </c>
      <c r="I431" s="112" t="s">
        <v>218</v>
      </c>
      <c r="J431" s="4" t="s">
        <v>132</v>
      </c>
      <c r="K431" s="5" t="s">
        <v>143</v>
      </c>
      <c r="L431" s="6" t="str">
        <f t="shared" si="59"/>
        <v>3T4</v>
      </c>
      <c r="M431" s="13" t="s">
        <v>1271</v>
      </c>
      <c r="N431" s="7" t="s">
        <v>3548</v>
      </c>
      <c r="O431" s="13" t="s">
        <v>367</v>
      </c>
      <c r="P431" s="115" t="s">
        <v>1272</v>
      </c>
      <c r="Q431" s="8"/>
      <c r="R431" s="2">
        <v>2</v>
      </c>
      <c r="S431" s="9">
        <v>1200</v>
      </c>
      <c r="T431" s="10">
        <f t="shared" si="60"/>
        <v>1200</v>
      </c>
      <c r="U431" s="9">
        <v>50</v>
      </c>
      <c r="V431" s="10">
        <f t="shared" si="61"/>
        <v>1150</v>
      </c>
      <c r="W431" s="4" t="s">
        <v>122</v>
      </c>
      <c r="X431" s="2"/>
      <c r="Y431" s="11">
        <v>8</v>
      </c>
      <c r="Z431" s="12">
        <f t="shared" si="62"/>
        <v>0</v>
      </c>
      <c r="AA431" s="4" t="s">
        <v>259</v>
      </c>
      <c r="AC431" s="176">
        <f t="shared" si="58"/>
        <v>4.5454545454545456E-2</v>
      </c>
    </row>
    <row r="432" spans="1:29" customFormat="1">
      <c r="A432" s="181"/>
      <c r="B432" s="183">
        <f t="shared" si="63"/>
        <v>13</v>
      </c>
      <c r="C432" s="107" t="str">
        <f t="shared" si="64"/>
        <v>ATK</v>
      </c>
      <c r="D432" s="2" t="s">
        <v>620</v>
      </c>
      <c r="E432" s="3">
        <v>43910</v>
      </c>
      <c r="F432" s="3">
        <v>43913</v>
      </c>
      <c r="G432" s="108">
        <f t="shared" si="65"/>
        <v>3</v>
      </c>
      <c r="H432" s="108" t="str">
        <f t="shared" si="66"/>
        <v>완료</v>
      </c>
      <c r="I432" s="112" t="s">
        <v>218</v>
      </c>
      <c r="J432" s="4" t="s">
        <v>118</v>
      </c>
      <c r="K432" s="5" t="s">
        <v>119</v>
      </c>
      <c r="L432" s="6" t="str">
        <f t="shared" si="59"/>
        <v>2T3</v>
      </c>
      <c r="M432" s="13" t="s">
        <v>1273</v>
      </c>
      <c r="N432" s="7"/>
      <c r="O432" s="13" t="s">
        <v>1274</v>
      </c>
      <c r="P432" s="115" t="s">
        <v>1275</v>
      </c>
      <c r="Q432" s="8" t="s">
        <v>1276</v>
      </c>
      <c r="R432" s="2">
        <v>1</v>
      </c>
      <c r="S432" s="9">
        <v>400</v>
      </c>
      <c r="T432" s="10">
        <f t="shared" si="60"/>
        <v>200</v>
      </c>
      <c r="U432" s="9">
        <v>0</v>
      </c>
      <c r="V432" s="10">
        <f t="shared" si="61"/>
        <v>200</v>
      </c>
      <c r="W432" s="4" t="s">
        <v>122</v>
      </c>
      <c r="X432" s="2"/>
      <c r="Y432" s="11">
        <v>3</v>
      </c>
      <c r="Z432" s="12">
        <f t="shared" si="62"/>
        <v>3</v>
      </c>
      <c r="AA432" s="4" t="s">
        <v>120</v>
      </c>
      <c r="AC432" s="176">
        <f t="shared" si="58"/>
        <v>0</v>
      </c>
    </row>
    <row r="433" spans="1:29" customFormat="1">
      <c r="A433" s="181"/>
      <c r="B433" s="183">
        <f t="shared" si="63"/>
        <v>13</v>
      </c>
      <c r="C433" s="107" t="str">
        <f t="shared" si="64"/>
        <v>ATK</v>
      </c>
      <c r="D433" s="2" t="s">
        <v>541</v>
      </c>
      <c r="E433" s="3">
        <v>43913</v>
      </c>
      <c r="F433" s="3">
        <v>43913</v>
      </c>
      <c r="G433" s="108">
        <f t="shared" si="65"/>
        <v>3</v>
      </c>
      <c r="H433" s="108" t="str">
        <f t="shared" si="66"/>
        <v>완료</v>
      </c>
      <c r="I433" s="112" t="s">
        <v>218</v>
      </c>
      <c r="J433" s="4" t="s">
        <v>132</v>
      </c>
      <c r="K433" s="5" t="s">
        <v>322</v>
      </c>
      <c r="L433" s="6" t="str">
        <f t="shared" si="59"/>
        <v>3T1</v>
      </c>
      <c r="M433" s="13" t="s">
        <v>813</v>
      </c>
      <c r="N433" s="7" t="s">
        <v>3660</v>
      </c>
      <c r="O433" s="13" t="s">
        <v>1160</v>
      </c>
      <c r="P433" s="115" t="s">
        <v>1161</v>
      </c>
      <c r="Q433" s="8"/>
      <c r="R433" s="2">
        <v>1</v>
      </c>
      <c r="S433" s="9">
        <v>2000</v>
      </c>
      <c r="T433" s="10">
        <f t="shared" si="60"/>
        <v>1000</v>
      </c>
      <c r="U433" s="9">
        <v>2</v>
      </c>
      <c r="V433" s="10">
        <f t="shared" si="61"/>
        <v>998</v>
      </c>
      <c r="W433" s="4" t="s">
        <v>122</v>
      </c>
      <c r="X433" s="2"/>
      <c r="Y433" s="11">
        <v>5</v>
      </c>
      <c r="Z433" s="12">
        <f t="shared" si="62"/>
        <v>0</v>
      </c>
      <c r="AA433" s="4" t="s">
        <v>120</v>
      </c>
      <c r="AC433" s="176">
        <f t="shared" si="58"/>
        <v>1.8181818181818182E-3</v>
      </c>
    </row>
    <row r="434" spans="1:29" customFormat="1">
      <c r="A434" s="181"/>
      <c r="B434" s="183">
        <f t="shared" si="63"/>
        <v>13</v>
      </c>
      <c r="C434" s="107" t="str">
        <f t="shared" si="64"/>
        <v>ATK</v>
      </c>
      <c r="D434" s="2" t="s">
        <v>1222</v>
      </c>
      <c r="E434" s="3">
        <v>43913</v>
      </c>
      <c r="F434" s="3">
        <v>43913</v>
      </c>
      <c r="G434" s="108">
        <f t="shared" si="65"/>
        <v>3</v>
      </c>
      <c r="H434" s="108" t="str">
        <f t="shared" si="66"/>
        <v>완료</v>
      </c>
      <c r="I434" s="112" t="s">
        <v>218</v>
      </c>
      <c r="J434" s="4" t="s">
        <v>281</v>
      </c>
      <c r="K434" s="5" t="s">
        <v>332</v>
      </c>
      <c r="L434" s="6" t="str">
        <f t="shared" si="59"/>
        <v>EE2</v>
      </c>
      <c r="M434" s="13" t="s">
        <v>256</v>
      </c>
      <c r="N434" s="7" t="s">
        <v>3594</v>
      </c>
      <c r="O434" s="13" t="s">
        <v>1142</v>
      </c>
      <c r="P434" s="115" t="s">
        <v>1278</v>
      </c>
      <c r="Q434" s="8"/>
      <c r="R434" s="2">
        <v>1</v>
      </c>
      <c r="S434" s="9">
        <v>3500</v>
      </c>
      <c r="T434" s="10">
        <f t="shared" si="60"/>
        <v>1750</v>
      </c>
      <c r="U434" s="9">
        <v>0</v>
      </c>
      <c r="V434" s="10">
        <f t="shared" si="61"/>
        <v>1750</v>
      </c>
      <c r="W434" s="4" t="s">
        <v>122</v>
      </c>
      <c r="X434" s="2"/>
      <c r="Y434" s="11">
        <v>4</v>
      </c>
      <c r="Z434" s="12">
        <f t="shared" si="62"/>
        <v>0</v>
      </c>
      <c r="AA434" s="4" t="s">
        <v>27</v>
      </c>
      <c r="AC434" s="176">
        <f t="shared" si="58"/>
        <v>0</v>
      </c>
    </row>
    <row r="435" spans="1:29" customFormat="1">
      <c r="A435" s="181"/>
      <c r="B435" s="183">
        <f t="shared" si="63"/>
        <v>13</v>
      </c>
      <c r="C435" s="107" t="str">
        <f t="shared" si="64"/>
        <v>ATK</v>
      </c>
      <c r="D435" s="2" t="s">
        <v>1279</v>
      </c>
      <c r="E435" s="3">
        <v>43913</v>
      </c>
      <c r="F435" s="3">
        <v>43913</v>
      </c>
      <c r="G435" s="108">
        <f t="shared" si="65"/>
        <v>3</v>
      </c>
      <c r="H435" s="108" t="str">
        <f t="shared" si="66"/>
        <v>완료</v>
      </c>
      <c r="I435" s="112" t="s">
        <v>218</v>
      </c>
      <c r="J435" s="4" t="s">
        <v>127</v>
      </c>
      <c r="K435" s="5" t="s">
        <v>135</v>
      </c>
      <c r="L435" s="6" t="str">
        <f t="shared" si="59"/>
        <v>1T3</v>
      </c>
      <c r="M435" s="13" t="s">
        <v>256</v>
      </c>
      <c r="N435" s="7" t="s">
        <v>3529</v>
      </c>
      <c r="O435" s="13" t="s">
        <v>478</v>
      </c>
      <c r="P435" s="115" t="s">
        <v>1280</v>
      </c>
      <c r="Q435" s="8"/>
      <c r="R435" s="2">
        <v>2</v>
      </c>
      <c r="S435" s="9">
        <v>1600</v>
      </c>
      <c r="T435" s="10">
        <f t="shared" si="60"/>
        <v>1600</v>
      </c>
      <c r="U435" s="9">
        <v>50</v>
      </c>
      <c r="V435" s="10">
        <f t="shared" si="61"/>
        <v>1550</v>
      </c>
      <c r="W435" s="4" t="s">
        <v>122</v>
      </c>
      <c r="X435" s="2"/>
      <c r="Y435" s="11">
        <v>6</v>
      </c>
      <c r="Z435" s="12">
        <f t="shared" si="62"/>
        <v>0</v>
      </c>
      <c r="AA435" s="4" t="s">
        <v>174</v>
      </c>
      <c r="AC435" s="176">
        <f t="shared" si="58"/>
        <v>4.5454545454545456E-2</v>
      </c>
    </row>
    <row r="436" spans="1:29" customFormat="1">
      <c r="A436" s="181"/>
      <c r="B436" s="183">
        <f t="shared" si="63"/>
        <v>13</v>
      </c>
      <c r="C436" s="107" t="str">
        <f t="shared" si="64"/>
        <v>ATK</v>
      </c>
      <c r="D436" s="2" t="s">
        <v>327</v>
      </c>
      <c r="E436" s="3">
        <v>43914</v>
      </c>
      <c r="F436" s="3">
        <v>43914</v>
      </c>
      <c r="G436" s="108">
        <f t="shared" si="65"/>
        <v>3</v>
      </c>
      <c r="H436" s="108" t="str">
        <f t="shared" si="66"/>
        <v>완료</v>
      </c>
      <c r="I436" s="112" t="s">
        <v>218</v>
      </c>
      <c r="J436" s="4" t="s">
        <v>115</v>
      </c>
      <c r="K436" s="5" t="s">
        <v>116</v>
      </c>
      <c r="L436" s="6" t="str">
        <f t="shared" si="59"/>
        <v>EE2</v>
      </c>
      <c r="M436" s="13" t="s">
        <v>1286</v>
      </c>
      <c r="N436" s="7" t="s">
        <v>3672</v>
      </c>
      <c r="O436" s="7" t="s">
        <v>1287</v>
      </c>
      <c r="P436" s="115" t="s">
        <v>1288</v>
      </c>
      <c r="Q436" s="8"/>
      <c r="R436" s="2">
        <v>1</v>
      </c>
      <c r="S436" s="9">
        <v>3500</v>
      </c>
      <c r="T436" s="10">
        <f t="shared" si="60"/>
        <v>1750</v>
      </c>
      <c r="U436" s="9">
        <v>10</v>
      </c>
      <c r="V436" s="10">
        <f t="shared" si="61"/>
        <v>1740</v>
      </c>
      <c r="W436" s="4" t="s">
        <v>122</v>
      </c>
      <c r="X436" s="2"/>
      <c r="Y436" s="11">
        <v>4</v>
      </c>
      <c r="Z436" s="12">
        <f t="shared" si="62"/>
        <v>0</v>
      </c>
      <c r="AA436" s="4" t="s">
        <v>212</v>
      </c>
      <c r="AC436" s="176">
        <f t="shared" si="58"/>
        <v>9.0909090909090905E-3</v>
      </c>
    </row>
    <row r="437" spans="1:29" customFormat="1">
      <c r="A437" s="181"/>
      <c r="B437" s="183">
        <f t="shared" si="63"/>
        <v>13</v>
      </c>
      <c r="C437" s="107" t="str">
        <f t="shared" si="64"/>
        <v>ATK</v>
      </c>
      <c r="D437" s="2" t="s">
        <v>1282</v>
      </c>
      <c r="E437" s="3">
        <v>43914</v>
      </c>
      <c r="F437" s="3">
        <v>43914</v>
      </c>
      <c r="G437" s="108">
        <f t="shared" si="65"/>
        <v>3</v>
      </c>
      <c r="H437" s="108" t="str">
        <f t="shared" si="66"/>
        <v>완료</v>
      </c>
      <c r="I437" s="112" t="s">
        <v>218</v>
      </c>
      <c r="J437" s="4" t="s">
        <v>121</v>
      </c>
      <c r="K437" s="5" t="s">
        <v>136</v>
      </c>
      <c r="L437" s="6" t="str">
        <f t="shared" si="59"/>
        <v>5T1</v>
      </c>
      <c r="M437" s="13" t="s">
        <v>1285</v>
      </c>
      <c r="N437" s="7" t="s">
        <v>3673</v>
      </c>
      <c r="O437" s="13" t="s">
        <v>1284</v>
      </c>
      <c r="P437" s="190" t="s">
        <v>1283</v>
      </c>
      <c r="Q437" s="8"/>
      <c r="R437" s="2">
        <v>1</v>
      </c>
      <c r="S437" s="9">
        <v>300</v>
      </c>
      <c r="T437" s="10">
        <f t="shared" si="60"/>
        <v>150</v>
      </c>
      <c r="U437" s="9">
        <v>5</v>
      </c>
      <c r="V437" s="10">
        <f t="shared" si="61"/>
        <v>145</v>
      </c>
      <c r="W437" s="4" t="s">
        <v>122</v>
      </c>
      <c r="X437" s="2"/>
      <c r="Y437" s="11">
        <v>4</v>
      </c>
      <c r="Z437" s="12">
        <f t="shared" si="62"/>
        <v>0</v>
      </c>
      <c r="AA437" s="4" t="s">
        <v>212</v>
      </c>
      <c r="AC437" s="176">
        <f t="shared" si="58"/>
        <v>4.5454545454545452E-3</v>
      </c>
    </row>
    <row r="438" spans="1:29" customFormat="1">
      <c r="A438" s="181"/>
      <c r="B438" s="183">
        <f t="shared" si="63"/>
        <v>13</v>
      </c>
      <c r="C438" s="107" t="str">
        <f t="shared" si="64"/>
        <v>ATK</v>
      </c>
      <c r="D438" s="2" t="s">
        <v>255</v>
      </c>
      <c r="E438" s="3">
        <v>43913</v>
      </c>
      <c r="F438" s="3">
        <v>43914</v>
      </c>
      <c r="G438" s="108">
        <f t="shared" si="65"/>
        <v>3</v>
      </c>
      <c r="H438" s="108" t="str">
        <f t="shared" si="66"/>
        <v>완료</v>
      </c>
      <c r="I438" s="112" t="s">
        <v>218</v>
      </c>
      <c r="J438" s="4" t="s">
        <v>127</v>
      </c>
      <c r="K438" s="5" t="s">
        <v>135</v>
      </c>
      <c r="L438" s="6" t="str">
        <f t="shared" si="59"/>
        <v>1T3</v>
      </c>
      <c r="M438" s="13" t="s">
        <v>256</v>
      </c>
      <c r="N438" s="7" t="s">
        <v>3594</v>
      </c>
      <c r="O438" s="13" t="s">
        <v>478</v>
      </c>
      <c r="P438" s="115" t="s">
        <v>996</v>
      </c>
      <c r="Q438" s="8"/>
      <c r="R438" s="2">
        <v>1</v>
      </c>
      <c r="S438" s="9">
        <v>1600</v>
      </c>
      <c r="T438" s="10">
        <f t="shared" si="60"/>
        <v>800</v>
      </c>
      <c r="U438" s="9">
        <v>50</v>
      </c>
      <c r="V438" s="10">
        <f t="shared" si="61"/>
        <v>750</v>
      </c>
      <c r="W438" s="4" t="s">
        <v>122</v>
      </c>
      <c r="X438" s="2"/>
      <c r="Y438" s="11">
        <v>4</v>
      </c>
      <c r="Z438" s="12">
        <f t="shared" si="62"/>
        <v>1</v>
      </c>
      <c r="AA438" s="4" t="s">
        <v>174</v>
      </c>
      <c r="AC438" s="176">
        <f t="shared" si="58"/>
        <v>4.5454545454545456E-2</v>
      </c>
    </row>
    <row r="439" spans="1:29" customFormat="1">
      <c r="A439" s="181"/>
      <c r="B439" s="183">
        <f t="shared" si="63"/>
        <v>13</v>
      </c>
      <c r="C439" s="107" t="str">
        <f t="shared" si="64"/>
        <v>ATK</v>
      </c>
      <c r="D439" s="2" t="s">
        <v>1290</v>
      </c>
      <c r="E439" s="3">
        <v>43905</v>
      </c>
      <c r="F439" s="3">
        <v>43914</v>
      </c>
      <c r="G439" s="108">
        <f t="shared" si="65"/>
        <v>3</v>
      </c>
      <c r="H439" s="108" t="str">
        <f t="shared" si="66"/>
        <v>완료</v>
      </c>
      <c r="I439" s="112" t="s">
        <v>1289</v>
      </c>
      <c r="J439" s="4" t="s">
        <v>1291</v>
      </c>
      <c r="K439" s="5" t="s">
        <v>1292</v>
      </c>
      <c r="L439" s="6" t="str">
        <f t="shared" si="59"/>
        <v>EE1</v>
      </c>
      <c r="M439" s="13" t="s">
        <v>1293</v>
      </c>
      <c r="N439" s="7" t="s">
        <v>3529</v>
      </c>
      <c r="O439" s="13">
        <v>4202</v>
      </c>
      <c r="P439" s="115" t="s">
        <v>1294</v>
      </c>
      <c r="Q439" s="8"/>
      <c r="R439" s="2">
        <v>1</v>
      </c>
      <c r="S439" s="9">
        <v>700</v>
      </c>
      <c r="T439" s="10">
        <f t="shared" si="60"/>
        <v>350</v>
      </c>
      <c r="U439" s="9">
        <v>25</v>
      </c>
      <c r="V439" s="10">
        <f t="shared" si="61"/>
        <v>325</v>
      </c>
      <c r="W439" s="4" t="s">
        <v>1295</v>
      </c>
      <c r="X439" s="2"/>
      <c r="Y439" s="11">
        <v>2</v>
      </c>
      <c r="Z439" s="12">
        <f t="shared" si="62"/>
        <v>9</v>
      </c>
      <c r="AA439" s="4" t="s">
        <v>1296</v>
      </c>
      <c r="AC439" s="176">
        <f t="shared" si="58"/>
        <v>2.2727272727272728E-2</v>
      </c>
    </row>
    <row r="440" spans="1:29" customFormat="1">
      <c r="A440" s="181"/>
      <c r="B440" s="183">
        <f t="shared" si="63"/>
        <v>13</v>
      </c>
      <c r="C440" s="107" t="str">
        <f t="shared" si="64"/>
        <v>ATK</v>
      </c>
      <c r="D440" s="2" t="s">
        <v>1297</v>
      </c>
      <c r="E440" s="3">
        <v>43915</v>
      </c>
      <c r="F440" s="3">
        <v>43915</v>
      </c>
      <c r="G440" s="108">
        <f t="shared" si="65"/>
        <v>3</v>
      </c>
      <c r="H440" s="108" t="str">
        <f t="shared" si="66"/>
        <v>완료</v>
      </c>
      <c r="I440" s="112" t="s">
        <v>264</v>
      </c>
      <c r="J440" s="4" t="s">
        <v>1298</v>
      </c>
      <c r="K440" s="5" t="s">
        <v>1299</v>
      </c>
      <c r="L440" s="6" t="str">
        <f t="shared" si="59"/>
        <v>EE2</v>
      </c>
      <c r="M440" s="13" t="s">
        <v>925</v>
      </c>
      <c r="N440" s="7" t="s">
        <v>3529</v>
      </c>
      <c r="O440" s="13" t="s">
        <v>370</v>
      </c>
      <c r="P440" s="115" t="s">
        <v>693</v>
      </c>
      <c r="Q440" s="8"/>
      <c r="R440" s="2">
        <v>1</v>
      </c>
      <c r="S440" s="9">
        <v>2200</v>
      </c>
      <c r="T440" s="10">
        <f t="shared" si="60"/>
        <v>1100</v>
      </c>
      <c r="U440" s="9"/>
      <c r="V440" s="10">
        <f t="shared" si="61"/>
        <v>1100</v>
      </c>
      <c r="W440" s="4" t="s">
        <v>1300</v>
      </c>
      <c r="X440" s="2"/>
      <c r="Y440" s="11">
        <v>3</v>
      </c>
      <c r="Z440" s="12">
        <f t="shared" si="62"/>
        <v>0</v>
      </c>
      <c r="AA440" s="4" t="s">
        <v>1301</v>
      </c>
      <c r="AC440" s="176">
        <f t="shared" si="58"/>
        <v>0</v>
      </c>
    </row>
    <row r="441" spans="1:29" customFormat="1">
      <c r="A441" s="181"/>
      <c r="B441" s="183">
        <f t="shared" si="63"/>
        <v>13</v>
      </c>
      <c r="C441" s="107" t="str">
        <f t="shared" si="64"/>
        <v>ATK</v>
      </c>
      <c r="D441" s="2" t="s">
        <v>1302</v>
      </c>
      <c r="E441" s="3">
        <v>43915</v>
      </c>
      <c r="F441" s="3">
        <v>43915</v>
      </c>
      <c r="G441" s="108">
        <f t="shared" si="65"/>
        <v>3</v>
      </c>
      <c r="H441" s="108" t="str">
        <f t="shared" si="66"/>
        <v>완료</v>
      </c>
      <c r="I441" s="112" t="s">
        <v>264</v>
      </c>
      <c r="J441" s="4" t="s">
        <v>281</v>
      </c>
      <c r="K441" s="5" t="s">
        <v>811</v>
      </c>
      <c r="L441" s="6" t="str">
        <f t="shared" si="59"/>
        <v>EE2</v>
      </c>
      <c r="M441" s="13" t="s">
        <v>1303</v>
      </c>
      <c r="N441" s="7" t="s">
        <v>3529</v>
      </c>
      <c r="O441" s="13">
        <v>4202</v>
      </c>
      <c r="P441" s="115" t="s">
        <v>300</v>
      </c>
      <c r="Q441" s="8"/>
      <c r="R441" s="2">
        <v>1</v>
      </c>
      <c r="S441" s="9">
        <v>700</v>
      </c>
      <c r="T441" s="10">
        <f t="shared" si="60"/>
        <v>350</v>
      </c>
      <c r="U441" s="9">
        <v>0</v>
      </c>
      <c r="V441" s="10">
        <f t="shared" si="61"/>
        <v>350</v>
      </c>
      <c r="W441" s="4" t="s">
        <v>1304</v>
      </c>
      <c r="X441" s="2"/>
      <c r="Y441" s="11">
        <v>3</v>
      </c>
      <c r="Z441" s="12">
        <f t="shared" si="62"/>
        <v>0</v>
      </c>
      <c r="AA441" s="4" t="s">
        <v>1305</v>
      </c>
      <c r="AC441" s="176">
        <f t="shared" si="58"/>
        <v>0</v>
      </c>
    </row>
    <row r="442" spans="1:29" customFormat="1">
      <c r="A442" s="181"/>
      <c r="B442" s="183">
        <f t="shared" si="63"/>
        <v>13</v>
      </c>
      <c r="C442" s="107" t="str">
        <f t="shared" si="64"/>
        <v>ATK</v>
      </c>
      <c r="D442" s="2" t="s">
        <v>1306</v>
      </c>
      <c r="E442" s="3">
        <v>43915</v>
      </c>
      <c r="F442" s="3">
        <v>43915</v>
      </c>
      <c r="G442" s="108">
        <f t="shared" si="65"/>
        <v>3</v>
      </c>
      <c r="H442" s="108" t="str">
        <f t="shared" si="66"/>
        <v>완료</v>
      </c>
      <c r="I442" s="112" t="s">
        <v>264</v>
      </c>
      <c r="J442" s="4" t="s">
        <v>121</v>
      </c>
      <c r="K442" s="5" t="s">
        <v>136</v>
      </c>
      <c r="L442" s="6" t="str">
        <f t="shared" si="59"/>
        <v>5T1</v>
      </c>
      <c r="M442" s="13" t="s">
        <v>226</v>
      </c>
      <c r="N442" s="7" t="s">
        <v>3674</v>
      </c>
      <c r="O442" s="13" t="s">
        <v>225</v>
      </c>
      <c r="P442" s="115" t="s">
        <v>1307</v>
      </c>
      <c r="Q442" s="8"/>
      <c r="R442" s="2">
        <v>1</v>
      </c>
      <c r="S442" s="9">
        <v>30000</v>
      </c>
      <c r="T442" s="10">
        <f t="shared" si="60"/>
        <v>15000</v>
      </c>
      <c r="U442" s="9">
        <v>100</v>
      </c>
      <c r="V442" s="10">
        <f t="shared" si="61"/>
        <v>14900</v>
      </c>
      <c r="W442" s="4" t="s">
        <v>249</v>
      </c>
      <c r="X442" s="2"/>
      <c r="Y442" s="11">
        <v>8</v>
      </c>
      <c r="Z442" s="12">
        <f t="shared" si="62"/>
        <v>0</v>
      </c>
      <c r="AA442" s="4" t="s">
        <v>27</v>
      </c>
      <c r="AC442" s="176">
        <f t="shared" si="58"/>
        <v>9.0909090909090912E-2</v>
      </c>
    </row>
    <row r="443" spans="1:29" customFormat="1">
      <c r="A443" s="181"/>
      <c r="B443" s="183">
        <f t="shared" si="63"/>
        <v>13</v>
      </c>
      <c r="C443" s="107" t="str">
        <f t="shared" si="64"/>
        <v>ATK</v>
      </c>
      <c r="D443" s="2" t="s">
        <v>307</v>
      </c>
      <c r="E443" s="3">
        <v>43853</v>
      </c>
      <c r="F443" s="3">
        <v>43915</v>
      </c>
      <c r="G443" s="108">
        <f t="shared" si="65"/>
        <v>3</v>
      </c>
      <c r="H443" s="108" t="str">
        <f t="shared" si="66"/>
        <v>완료</v>
      </c>
      <c r="I443" s="112" t="s">
        <v>218</v>
      </c>
      <c r="J443" s="4" t="s">
        <v>139</v>
      </c>
      <c r="K443" s="5" t="s">
        <v>128</v>
      </c>
      <c r="L443" s="6" t="str">
        <f t="shared" si="59"/>
        <v>1T1</v>
      </c>
      <c r="M443" s="13" t="s">
        <v>213</v>
      </c>
      <c r="N443" s="7" t="s">
        <v>3675</v>
      </c>
      <c r="O443" s="13" t="s">
        <v>1308</v>
      </c>
      <c r="P443" s="115" t="s">
        <v>1309</v>
      </c>
      <c r="Q443" s="8" t="s">
        <v>1310</v>
      </c>
      <c r="R443" s="2">
        <v>1</v>
      </c>
      <c r="S443" s="9">
        <v>4000</v>
      </c>
      <c r="T443" s="10">
        <f t="shared" si="60"/>
        <v>2000</v>
      </c>
      <c r="U443" s="9">
        <v>150</v>
      </c>
      <c r="V443" s="10">
        <f t="shared" si="61"/>
        <v>1850</v>
      </c>
      <c r="W443" s="4" t="s">
        <v>122</v>
      </c>
      <c r="X443" s="2"/>
      <c r="Y443" s="11">
        <v>5</v>
      </c>
      <c r="Z443" s="12">
        <f t="shared" si="62"/>
        <v>62</v>
      </c>
      <c r="AA443" s="4" t="s">
        <v>120</v>
      </c>
      <c r="AC443" s="176">
        <f t="shared" si="58"/>
        <v>0.13636363636363635</v>
      </c>
    </row>
    <row r="444" spans="1:29" customFormat="1">
      <c r="A444" s="181"/>
      <c r="B444" s="183">
        <f t="shared" si="63"/>
        <v>13</v>
      </c>
      <c r="C444" s="107" t="str">
        <f t="shared" si="64"/>
        <v>ATK</v>
      </c>
      <c r="D444" s="2" t="s">
        <v>1311</v>
      </c>
      <c r="E444" s="3">
        <v>43915</v>
      </c>
      <c r="F444" s="3">
        <v>43915</v>
      </c>
      <c r="G444" s="108">
        <f t="shared" si="65"/>
        <v>3</v>
      </c>
      <c r="H444" s="108" t="str">
        <f t="shared" si="66"/>
        <v>완료</v>
      </c>
      <c r="I444" s="112" t="s">
        <v>218</v>
      </c>
      <c r="J444" s="4" t="s">
        <v>115</v>
      </c>
      <c r="K444" s="5" t="s">
        <v>138</v>
      </c>
      <c r="L444" s="6" t="str">
        <f t="shared" si="59"/>
        <v>EE1</v>
      </c>
      <c r="M444" s="13" t="s">
        <v>1312</v>
      </c>
      <c r="N444" s="7" t="s">
        <v>3676</v>
      </c>
      <c r="O444" s="13" t="s">
        <v>1313</v>
      </c>
      <c r="P444" s="115" t="s">
        <v>1314</v>
      </c>
      <c r="Q444" s="8"/>
      <c r="R444" s="2">
        <v>1</v>
      </c>
      <c r="S444" s="9">
        <v>1800</v>
      </c>
      <c r="T444" s="10">
        <f t="shared" si="60"/>
        <v>900</v>
      </c>
      <c r="U444" s="9">
        <v>5</v>
      </c>
      <c r="V444" s="10">
        <f t="shared" si="61"/>
        <v>895</v>
      </c>
      <c r="W444" s="4" t="s">
        <v>122</v>
      </c>
      <c r="X444" s="2"/>
      <c r="Y444" s="11">
        <v>3</v>
      </c>
      <c r="Z444" s="12">
        <f t="shared" si="62"/>
        <v>0</v>
      </c>
      <c r="AA444" s="4" t="s">
        <v>117</v>
      </c>
      <c r="AC444" s="176">
        <f t="shared" si="58"/>
        <v>4.5454545454545452E-3</v>
      </c>
    </row>
    <row r="445" spans="1:29" customFormat="1">
      <c r="A445" s="181"/>
      <c r="B445" s="183">
        <f t="shared" si="63"/>
        <v>13</v>
      </c>
      <c r="C445" s="107" t="str">
        <f t="shared" si="64"/>
        <v>ATK</v>
      </c>
      <c r="D445" s="2" t="s">
        <v>1311</v>
      </c>
      <c r="E445" s="3">
        <v>43915</v>
      </c>
      <c r="F445" s="3">
        <v>43915</v>
      </c>
      <c r="G445" s="108">
        <f t="shared" si="65"/>
        <v>3</v>
      </c>
      <c r="H445" s="108" t="str">
        <f t="shared" si="66"/>
        <v>완료</v>
      </c>
      <c r="I445" s="112" t="s">
        <v>218</v>
      </c>
      <c r="J445" s="4" t="s">
        <v>115</v>
      </c>
      <c r="K445" s="5" t="s">
        <v>138</v>
      </c>
      <c r="L445" s="6" t="str">
        <f t="shared" si="59"/>
        <v>EE1</v>
      </c>
      <c r="M445" s="13" t="s">
        <v>1312</v>
      </c>
      <c r="N445" s="7" t="s">
        <v>3676</v>
      </c>
      <c r="O445" s="13" t="s">
        <v>1315</v>
      </c>
      <c r="P445" s="115" t="s">
        <v>1314</v>
      </c>
      <c r="Q445" s="8"/>
      <c r="R445" s="2">
        <v>1</v>
      </c>
      <c r="S445" s="9">
        <v>2400</v>
      </c>
      <c r="T445" s="10">
        <f t="shared" si="60"/>
        <v>1200</v>
      </c>
      <c r="U445" s="9">
        <v>5</v>
      </c>
      <c r="V445" s="10">
        <f t="shared" si="61"/>
        <v>1195</v>
      </c>
      <c r="W445" s="4" t="s">
        <v>122</v>
      </c>
      <c r="X445" s="2"/>
      <c r="Y445" s="11">
        <v>4</v>
      </c>
      <c r="Z445" s="12">
        <f t="shared" si="62"/>
        <v>0</v>
      </c>
      <c r="AA445" s="4" t="s">
        <v>117</v>
      </c>
      <c r="AC445" s="176">
        <f t="shared" si="58"/>
        <v>4.5454545454545452E-3</v>
      </c>
    </row>
    <row r="446" spans="1:29" customFormat="1">
      <c r="A446" s="181"/>
      <c r="B446" s="183">
        <f t="shared" si="63"/>
        <v>13</v>
      </c>
      <c r="C446" s="107" t="str">
        <f t="shared" si="64"/>
        <v>ATK</v>
      </c>
      <c r="D446" s="2" t="s">
        <v>1316</v>
      </c>
      <c r="E446" s="3">
        <v>43915</v>
      </c>
      <c r="F446" s="3">
        <v>43916</v>
      </c>
      <c r="G446" s="108">
        <f t="shared" si="65"/>
        <v>3</v>
      </c>
      <c r="H446" s="108" t="str">
        <f t="shared" si="66"/>
        <v>완료</v>
      </c>
      <c r="I446" s="112" t="s">
        <v>218</v>
      </c>
      <c r="J446" s="4" t="s">
        <v>115</v>
      </c>
      <c r="K446" s="5" t="s">
        <v>116</v>
      </c>
      <c r="L446" s="6" t="str">
        <f t="shared" si="59"/>
        <v>EE2</v>
      </c>
      <c r="M446" s="13" t="s">
        <v>292</v>
      </c>
      <c r="N446" s="7" t="s">
        <v>3588</v>
      </c>
      <c r="O446" s="13" t="s">
        <v>207</v>
      </c>
      <c r="P446" s="115" t="s">
        <v>889</v>
      </c>
      <c r="Q446" s="8"/>
      <c r="R446" s="2">
        <v>2</v>
      </c>
      <c r="S446" s="9">
        <v>700</v>
      </c>
      <c r="T446" s="10">
        <f t="shared" si="60"/>
        <v>700</v>
      </c>
      <c r="U446" s="9">
        <v>20</v>
      </c>
      <c r="V446" s="10">
        <f t="shared" si="61"/>
        <v>680</v>
      </c>
      <c r="W446" s="4" t="s">
        <v>122</v>
      </c>
      <c r="X446" s="2"/>
      <c r="Y446" s="11">
        <v>3</v>
      </c>
      <c r="Z446" s="12">
        <f t="shared" si="62"/>
        <v>1</v>
      </c>
      <c r="AA446" s="4" t="s">
        <v>117</v>
      </c>
      <c r="AC446" s="176">
        <f t="shared" ref="AC446:AC507" si="67">U446/1100</f>
        <v>1.8181818181818181E-2</v>
      </c>
    </row>
    <row r="447" spans="1:29" customFormat="1">
      <c r="A447" s="181"/>
      <c r="B447" s="183">
        <f t="shared" si="63"/>
        <v>13</v>
      </c>
      <c r="C447" s="107" t="str">
        <f t="shared" si="64"/>
        <v>ATK</v>
      </c>
      <c r="D447" s="2" t="s">
        <v>1318</v>
      </c>
      <c r="E447" s="3">
        <v>43916</v>
      </c>
      <c r="F447" s="3">
        <v>43916</v>
      </c>
      <c r="G447" s="108">
        <f t="shared" si="65"/>
        <v>3</v>
      </c>
      <c r="H447" s="108" t="str">
        <f t="shared" si="66"/>
        <v>완료</v>
      </c>
      <c r="I447" s="112" t="s">
        <v>218</v>
      </c>
      <c r="J447" s="4" t="s">
        <v>115</v>
      </c>
      <c r="K447" s="5" t="s">
        <v>116</v>
      </c>
      <c r="L447" s="6" t="str">
        <f t="shared" si="59"/>
        <v>EE2</v>
      </c>
      <c r="M447" s="13" t="s">
        <v>1319</v>
      </c>
      <c r="N447" s="7" t="s">
        <v>3611</v>
      </c>
      <c r="O447" s="13" t="s">
        <v>1320</v>
      </c>
      <c r="P447" s="115" t="s">
        <v>1321</v>
      </c>
      <c r="Q447" s="8"/>
      <c r="R447" s="2">
        <v>3</v>
      </c>
      <c r="S447" s="9">
        <v>7000</v>
      </c>
      <c r="T447" s="10">
        <f t="shared" si="60"/>
        <v>10500</v>
      </c>
      <c r="U447" s="9">
        <v>15</v>
      </c>
      <c r="V447" s="10">
        <f t="shared" si="61"/>
        <v>10485</v>
      </c>
      <c r="W447" s="4" t="s">
        <v>122</v>
      </c>
      <c r="X447" s="2"/>
      <c r="Y447" s="11">
        <v>2</v>
      </c>
      <c r="Z447" s="12">
        <f t="shared" si="62"/>
        <v>0</v>
      </c>
      <c r="AA447" s="4" t="s">
        <v>117</v>
      </c>
      <c r="AC447" s="176">
        <f t="shared" si="67"/>
        <v>1.3636363636363636E-2</v>
      </c>
    </row>
    <row r="448" spans="1:29" customFormat="1">
      <c r="A448" s="181"/>
      <c r="B448" s="183">
        <f t="shared" si="63"/>
        <v>15</v>
      </c>
      <c r="C448" s="107" t="str">
        <f t="shared" si="64"/>
        <v>ATK</v>
      </c>
      <c r="D448" s="2" t="s">
        <v>335</v>
      </c>
      <c r="E448" s="3">
        <v>43916</v>
      </c>
      <c r="F448" s="3">
        <v>43930</v>
      </c>
      <c r="G448" s="108">
        <f t="shared" si="65"/>
        <v>4</v>
      </c>
      <c r="H448" s="108" t="str">
        <f t="shared" si="66"/>
        <v>완료</v>
      </c>
      <c r="I448" s="112" t="s">
        <v>514</v>
      </c>
      <c r="J448" s="4" t="s">
        <v>281</v>
      </c>
      <c r="K448" s="5" t="s">
        <v>282</v>
      </c>
      <c r="L448" s="6" t="str">
        <f t="shared" si="59"/>
        <v>EE1</v>
      </c>
      <c r="M448" s="13" t="s">
        <v>216</v>
      </c>
      <c r="N448" s="7" t="s">
        <v>3656</v>
      </c>
      <c r="O448" s="13" t="s">
        <v>226</v>
      </c>
      <c r="P448" s="115"/>
      <c r="Q448" s="8"/>
      <c r="R448" s="2">
        <v>1</v>
      </c>
      <c r="S448" s="9">
        <v>5000</v>
      </c>
      <c r="T448" s="10">
        <f t="shared" si="60"/>
        <v>2500</v>
      </c>
      <c r="U448" s="9">
        <v>1500</v>
      </c>
      <c r="V448" s="10">
        <f t="shared" si="61"/>
        <v>1000</v>
      </c>
      <c r="W448" s="4" t="s">
        <v>326</v>
      </c>
      <c r="X448" s="2" t="s">
        <v>124</v>
      </c>
      <c r="Y448" s="11">
        <v>1</v>
      </c>
      <c r="Z448" s="12">
        <f t="shared" si="62"/>
        <v>14</v>
      </c>
      <c r="AA448" s="4" t="s">
        <v>30</v>
      </c>
      <c r="AC448" s="176">
        <f t="shared" si="67"/>
        <v>1.3636363636363635</v>
      </c>
    </row>
    <row r="449" spans="1:29" customFormat="1">
      <c r="A449" s="181"/>
      <c r="B449" s="183">
        <f t="shared" si="63"/>
        <v>15</v>
      </c>
      <c r="C449" s="107" t="str">
        <f t="shared" si="64"/>
        <v>ATK</v>
      </c>
      <c r="D449" s="2" t="s">
        <v>335</v>
      </c>
      <c r="E449" s="3">
        <v>43916</v>
      </c>
      <c r="F449" s="3">
        <v>43930</v>
      </c>
      <c r="G449" s="108">
        <f t="shared" si="65"/>
        <v>4</v>
      </c>
      <c r="H449" s="108" t="str">
        <f t="shared" si="66"/>
        <v>완료</v>
      </c>
      <c r="I449" s="112" t="s">
        <v>514</v>
      </c>
      <c r="J449" s="4" t="s">
        <v>281</v>
      </c>
      <c r="K449" s="5" t="s">
        <v>282</v>
      </c>
      <c r="L449" s="6" t="str">
        <f t="shared" si="59"/>
        <v>EE1</v>
      </c>
      <c r="M449" s="13" t="s">
        <v>216</v>
      </c>
      <c r="N449" s="7" t="s">
        <v>3656</v>
      </c>
      <c r="O449" s="13" t="s">
        <v>226</v>
      </c>
      <c r="P449" s="115"/>
      <c r="Q449" s="8"/>
      <c r="R449" s="2">
        <v>1</v>
      </c>
      <c r="S449" s="9">
        <v>5000</v>
      </c>
      <c r="T449" s="10">
        <f t="shared" si="60"/>
        <v>2500</v>
      </c>
      <c r="U449" s="9">
        <v>1500</v>
      </c>
      <c r="V449" s="10">
        <f t="shared" si="61"/>
        <v>1000</v>
      </c>
      <c r="W449" s="4" t="s">
        <v>326</v>
      </c>
      <c r="X449" s="2" t="s">
        <v>124</v>
      </c>
      <c r="Y449" s="11">
        <v>1</v>
      </c>
      <c r="Z449" s="12">
        <f t="shared" si="62"/>
        <v>14</v>
      </c>
      <c r="AA449" s="4" t="s">
        <v>30</v>
      </c>
      <c r="AC449" s="176">
        <f t="shared" si="67"/>
        <v>1.3636363636363635</v>
      </c>
    </row>
    <row r="450" spans="1:29" customFormat="1">
      <c r="A450" s="181"/>
      <c r="B450" s="183">
        <f t="shared" si="63"/>
        <v>13</v>
      </c>
      <c r="C450" s="107" t="str">
        <f t="shared" si="64"/>
        <v>ATK</v>
      </c>
      <c r="D450" s="2" t="s">
        <v>1322</v>
      </c>
      <c r="E450" s="3">
        <v>43916</v>
      </c>
      <c r="F450" s="3">
        <v>43917</v>
      </c>
      <c r="G450" s="108">
        <f t="shared" si="65"/>
        <v>3</v>
      </c>
      <c r="H450" s="108" t="str">
        <f t="shared" si="66"/>
        <v>완료</v>
      </c>
      <c r="I450" s="112" t="s">
        <v>218</v>
      </c>
      <c r="J450" s="4" t="s">
        <v>132</v>
      </c>
      <c r="K450" s="5" t="s">
        <v>1193</v>
      </c>
      <c r="L450" s="6" t="str">
        <f t="shared" ref="L450:L513" si="68">LEFT(K450,3)</f>
        <v>3T2</v>
      </c>
      <c r="M450" s="13" t="s">
        <v>1323</v>
      </c>
      <c r="N450" s="7" t="s">
        <v>3677</v>
      </c>
      <c r="O450" s="13" t="s">
        <v>1324</v>
      </c>
      <c r="P450" s="115" t="s">
        <v>1332</v>
      </c>
      <c r="Q450" s="8"/>
      <c r="R450" s="2">
        <v>1</v>
      </c>
      <c r="S450" s="9">
        <v>700</v>
      </c>
      <c r="T450" s="10">
        <f t="shared" ref="T450:T511" si="69">(S450*50)/100*R450</f>
        <v>350</v>
      </c>
      <c r="U450" s="9">
        <v>10</v>
      </c>
      <c r="V450" s="10">
        <f t="shared" ref="V450:V511" si="70">T450-U450</f>
        <v>340</v>
      </c>
      <c r="W450" s="4" t="s">
        <v>122</v>
      </c>
      <c r="X450" s="2"/>
      <c r="Y450" s="11">
        <v>6</v>
      </c>
      <c r="Z450" s="12">
        <f t="shared" ref="Z450:Z513" si="71">F450-E450</f>
        <v>1</v>
      </c>
      <c r="AA450" s="4" t="s">
        <v>212</v>
      </c>
      <c r="AC450" s="176">
        <f t="shared" si="67"/>
        <v>9.0909090909090905E-3</v>
      </c>
    </row>
    <row r="451" spans="1:29" customFormat="1">
      <c r="A451" s="181"/>
      <c r="B451" s="183">
        <f t="shared" ref="B451:B514" si="72">IF(F451&gt;0,IFERROR(WEEKNUM(F451),""),"")</f>
        <v>13</v>
      </c>
      <c r="C451" s="107" t="str">
        <f t="shared" ref="C451:C514" si="73">IF(D451=0,"",(IF(LEFT(D451,3)="ATK","ATK",IF(LEFT(D451,2)="AT",D451,"ATK"))))</f>
        <v>ATK</v>
      </c>
      <c r="D451" s="2" t="s">
        <v>1325</v>
      </c>
      <c r="E451" s="3">
        <v>43916</v>
      </c>
      <c r="F451" s="3">
        <v>43916</v>
      </c>
      <c r="G451" s="108">
        <f t="shared" ref="G451:G514" si="74">IF(F451&gt;0,MONTH(F451),"")</f>
        <v>3</v>
      </c>
      <c r="H451" s="108" t="str">
        <f t="shared" ref="H451:H514" si="75">IF(I451=0,"",IF(RIGHT(I451,2)="완료","완료",IF(RIGHT(I451,2)="불가","수리불가",IF(RIGHT(I451,1)="중","수리중","Other"))))</f>
        <v>완료</v>
      </c>
      <c r="I451" s="112" t="s">
        <v>218</v>
      </c>
      <c r="J451" s="4" t="s">
        <v>127</v>
      </c>
      <c r="K451" s="5" t="s">
        <v>131</v>
      </c>
      <c r="L451" s="6" t="str">
        <f t="shared" si="68"/>
        <v>1T4</v>
      </c>
      <c r="M451" s="13" t="s">
        <v>1326</v>
      </c>
      <c r="N451" s="7" t="s">
        <v>3559</v>
      </c>
      <c r="O451" s="13" t="s">
        <v>1327</v>
      </c>
      <c r="P451" s="115" t="s">
        <v>1328</v>
      </c>
      <c r="Q451" s="8"/>
      <c r="R451" s="2">
        <v>2</v>
      </c>
      <c r="S451" s="9">
        <v>400</v>
      </c>
      <c r="T451" s="10">
        <f t="shared" si="69"/>
        <v>400</v>
      </c>
      <c r="U451" s="9">
        <v>5</v>
      </c>
      <c r="V451" s="10">
        <f t="shared" si="70"/>
        <v>395</v>
      </c>
      <c r="W451" s="4" t="s">
        <v>122</v>
      </c>
      <c r="X451" s="2"/>
      <c r="Y451" s="11">
        <v>8</v>
      </c>
      <c r="Z451" s="12">
        <f t="shared" si="71"/>
        <v>0</v>
      </c>
      <c r="AA451" s="4" t="s">
        <v>259</v>
      </c>
      <c r="AC451" s="176">
        <f t="shared" si="67"/>
        <v>4.5454545454545452E-3</v>
      </c>
    </row>
    <row r="452" spans="1:29" customFormat="1">
      <c r="A452" s="181"/>
      <c r="B452" s="183">
        <f t="shared" si="72"/>
        <v>13</v>
      </c>
      <c r="C452" s="107" t="str">
        <f t="shared" si="73"/>
        <v>ATK</v>
      </c>
      <c r="D452" s="2" t="s">
        <v>1329</v>
      </c>
      <c r="E452" s="3">
        <v>43917</v>
      </c>
      <c r="F452" s="3">
        <v>43917</v>
      </c>
      <c r="G452" s="108">
        <f t="shared" si="74"/>
        <v>3</v>
      </c>
      <c r="H452" s="108" t="str">
        <f t="shared" si="75"/>
        <v>완료</v>
      </c>
      <c r="I452" s="112" t="s">
        <v>218</v>
      </c>
      <c r="J452" s="4" t="s">
        <v>132</v>
      </c>
      <c r="K452" s="5" t="s">
        <v>322</v>
      </c>
      <c r="L452" s="6" t="str">
        <f t="shared" si="68"/>
        <v>3T1</v>
      </c>
      <c r="M452" s="13"/>
      <c r="N452" s="7" t="s">
        <v>3501</v>
      </c>
      <c r="O452" s="13" t="s">
        <v>1330</v>
      </c>
      <c r="P452" s="115" t="s">
        <v>1331</v>
      </c>
      <c r="Q452" s="8"/>
      <c r="R452" s="2">
        <v>1</v>
      </c>
      <c r="S452" s="9">
        <v>1200</v>
      </c>
      <c r="T452" s="10">
        <f t="shared" si="69"/>
        <v>600</v>
      </c>
      <c r="U452" s="9">
        <v>5</v>
      </c>
      <c r="V452" s="10">
        <f t="shared" si="70"/>
        <v>595</v>
      </c>
      <c r="W452" s="4" t="s">
        <v>122</v>
      </c>
      <c r="X452" s="2"/>
      <c r="Y452" s="11">
        <v>8</v>
      </c>
      <c r="Z452" s="12">
        <f t="shared" si="71"/>
        <v>0</v>
      </c>
      <c r="AA452" s="4" t="s">
        <v>259</v>
      </c>
      <c r="AC452" s="176">
        <f t="shared" si="67"/>
        <v>4.5454545454545452E-3</v>
      </c>
    </row>
    <row r="453" spans="1:29" customFormat="1">
      <c r="A453" s="181"/>
      <c r="B453" s="183">
        <f t="shared" si="72"/>
        <v>25</v>
      </c>
      <c r="C453" s="107" t="str">
        <f t="shared" si="73"/>
        <v>ATK</v>
      </c>
      <c r="D453" s="2" t="s">
        <v>1347</v>
      </c>
      <c r="E453" s="3">
        <v>43916</v>
      </c>
      <c r="F453" s="3">
        <v>44000</v>
      </c>
      <c r="G453" s="108">
        <f t="shared" si="74"/>
        <v>6</v>
      </c>
      <c r="H453" s="108" t="str">
        <f t="shared" si="75"/>
        <v>완료</v>
      </c>
      <c r="I453" s="112" t="s">
        <v>218</v>
      </c>
      <c r="J453" s="4" t="s">
        <v>1348</v>
      </c>
      <c r="K453" s="5" t="s">
        <v>1349</v>
      </c>
      <c r="L453" s="6" t="str">
        <f t="shared" si="68"/>
        <v>2T2</v>
      </c>
      <c r="M453" s="13" t="s">
        <v>1336</v>
      </c>
      <c r="N453" s="7" t="s">
        <v>3678</v>
      </c>
      <c r="O453" s="13" t="s">
        <v>1337</v>
      </c>
      <c r="P453" s="115" t="s">
        <v>1341</v>
      </c>
      <c r="Q453" s="8"/>
      <c r="R453" s="2">
        <v>1</v>
      </c>
      <c r="S453" s="9">
        <v>500</v>
      </c>
      <c r="T453" s="10">
        <f t="shared" si="69"/>
        <v>250</v>
      </c>
      <c r="U453" s="9">
        <v>5</v>
      </c>
      <c r="V453" s="10">
        <f t="shared" si="70"/>
        <v>245</v>
      </c>
      <c r="W453" s="4" t="s">
        <v>1339</v>
      </c>
      <c r="X453" s="2"/>
      <c r="Y453" s="11">
        <v>1</v>
      </c>
      <c r="Z453" s="12">
        <f t="shared" si="71"/>
        <v>84</v>
      </c>
      <c r="AA453" s="4" t="s">
        <v>1340</v>
      </c>
      <c r="AC453" s="176">
        <f t="shared" si="67"/>
        <v>4.5454545454545452E-3</v>
      </c>
    </row>
    <row r="454" spans="1:29" customFormat="1">
      <c r="A454" s="181"/>
      <c r="B454" s="183">
        <f t="shared" si="72"/>
        <v>14</v>
      </c>
      <c r="C454" s="107" t="str">
        <f t="shared" si="73"/>
        <v>ATK</v>
      </c>
      <c r="D454" s="2" t="s">
        <v>1333</v>
      </c>
      <c r="E454" s="3">
        <v>43916</v>
      </c>
      <c r="F454" s="3">
        <v>43922</v>
      </c>
      <c r="G454" s="108">
        <f t="shared" si="74"/>
        <v>4</v>
      </c>
      <c r="H454" s="108" t="str">
        <f t="shared" si="75"/>
        <v>완료</v>
      </c>
      <c r="I454" s="112" t="s">
        <v>218</v>
      </c>
      <c r="J454" s="4" t="s">
        <v>1334</v>
      </c>
      <c r="K454" s="5" t="s">
        <v>1335</v>
      </c>
      <c r="L454" s="6" t="str">
        <f t="shared" si="68"/>
        <v>EE1</v>
      </c>
      <c r="M454" s="13" t="s">
        <v>1336</v>
      </c>
      <c r="N454" s="7" t="s">
        <v>3679</v>
      </c>
      <c r="O454" s="13" t="s">
        <v>1337</v>
      </c>
      <c r="P454" s="115" t="s">
        <v>1338</v>
      </c>
      <c r="Q454" s="8"/>
      <c r="R454" s="2">
        <v>1</v>
      </c>
      <c r="S454" s="9">
        <v>400</v>
      </c>
      <c r="T454" s="10">
        <f t="shared" si="69"/>
        <v>200</v>
      </c>
      <c r="U454" s="9">
        <v>20</v>
      </c>
      <c r="V454" s="10">
        <f t="shared" si="70"/>
        <v>180</v>
      </c>
      <c r="W454" s="4" t="s">
        <v>1339</v>
      </c>
      <c r="X454" s="2"/>
      <c r="Y454" s="11">
        <v>5</v>
      </c>
      <c r="Z454" s="12">
        <f t="shared" si="71"/>
        <v>6</v>
      </c>
      <c r="AA454" s="4" t="s">
        <v>1340</v>
      </c>
      <c r="AC454" s="176">
        <f t="shared" si="67"/>
        <v>1.8181818181818181E-2</v>
      </c>
    </row>
    <row r="455" spans="1:29" customFormat="1">
      <c r="A455" s="181"/>
      <c r="B455" s="183">
        <f t="shared" si="72"/>
        <v>15</v>
      </c>
      <c r="C455" s="107" t="str">
        <f t="shared" si="73"/>
        <v>ATK</v>
      </c>
      <c r="D455" s="2" t="s">
        <v>1342</v>
      </c>
      <c r="E455" s="3">
        <v>43917</v>
      </c>
      <c r="F455" s="3">
        <v>43929</v>
      </c>
      <c r="G455" s="108">
        <f t="shared" si="74"/>
        <v>4</v>
      </c>
      <c r="H455" s="108" t="str">
        <f t="shared" si="75"/>
        <v>Other</v>
      </c>
      <c r="I455" s="112" t="s">
        <v>660</v>
      </c>
      <c r="J455" s="4" t="s">
        <v>1343</v>
      </c>
      <c r="K455" s="5" t="s">
        <v>1344</v>
      </c>
      <c r="L455" s="6" t="str">
        <f t="shared" si="68"/>
        <v>6T2</v>
      </c>
      <c r="M455" s="13" t="s">
        <v>1217</v>
      </c>
      <c r="N455" s="7" t="s">
        <v>3667</v>
      </c>
      <c r="O455" s="13" t="s">
        <v>1217</v>
      </c>
      <c r="P455" s="115" t="s">
        <v>1345</v>
      </c>
      <c r="Q455" s="8" t="s">
        <v>1346</v>
      </c>
      <c r="R455" s="2">
        <v>1</v>
      </c>
      <c r="S455" s="9">
        <v>910</v>
      </c>
      <c r="T455" s="10">
        <f t="shared" si="69"/>
        <v>455</v>
      </c>
      <c r="U455" s="9">
        <v>0</v>
      </c>
      <c r="V455" s="10">
        <f t="shared" si="70"/>
        <v>455</v>
      </c>
      <c r="W455" s="4" t="s">
        <v>1339</v>
      </c>
      <c r="X455" s="2"/>
      <c r="Y455" s="11">
        <v>2</v>
      </c>
      <c r="Z455" s="12">
        <f t="shared" si="71"/>
        <v>12</v>
      </c>
      <c r="AA455" s="4" t="s">
        <v>1340</v>
      </c>
      <c r="AC455" s="176">
        <f t="shared" si="67"/>
        <v>0</v>
      </c>
    </row>
    <row r="456" spans="1:29" customFormat="1">
      <c r="A456" s="181"/>
      <c r="B456" s="183">
        <f t="shared" si="72"/>
        <v>13</v>
      </c>
      <c r="C456" s="107" t="str">
        <f t="shared" si="73"/>
        <v>ATK</v>
      </c>
      <c r="D456" s="2" t="s">
        <v>773</v>
      </c>
      <c r="E456" s="3">
        <v>43917</v>
      </c>
      <c r="F456" s="3">
        <v>43917</v>
      </c>
      <c r="G456" s="108">
        <f t="shared" si="74"/>
        <v>3</v>
      </c>
      <c r="H456" s="108" t="str">
        <f t="shared" si="75"/>
        <v>완료</v>
      </c>
      <c r="I456" s="112" t="s">
        <v>218</v>
      </c>
      <c r="J456" s="4" t="s">
        <v>132</v>
      </c>
      <c r="K456" s="5" t="s">
        <v>322</v>
      </c>
      <c r="L456" s="6" t="str">
        <f t="shared" si="68"/>
        <v>3T1</v>
      </c>
      <c r="M456" s="13" t="s">
        <v>1350</v>
      </c>
      <c r="N456" s="7" t="s">
        <v>3546</v>
      </c>
      <c r="O456" s="13" t="s">
        <v>1351</v>
      </c>
      <c r="P456" s="115"/>
      <c r="Q456" s="8"/>
      <c r="R456" s="2">
        <v>1</v>
      </c>
      <c r="S456" s="9">
        <v>900</v>
      </c>
      <c r="T456" s="10">
        <f t="shared" si="69"/>
        <v>450</v>
      </c>
      <c r="U456" s="9">
        <v>4</v>
      </c>
      <c r="V456" s="10">
        <f t="shared" si="70"/>
        <v>446</v>
      </c>
      <c r="W456" s="4" t="s">
        <v>122</v>
      </c>
      <c r="X456" s="2"/>
      <c r="Y456" s="11">
        <v>1</v>
      </c>
      <c r="Z456" s="12">
        <f t="shared" si="71"/>
        <v>0</v>
      </c>
      <c r="AA456" s="4" t="s">
        <v>117</v>
      </c>
      <c r="AC456" s="176">
        <f t="shared" si="67"/>
        <v>3.6363636363636364E-3</v>
      </c>
    </row>
    <row r="457" spans="1:29" customFormat="1">
      <c r="A457" s="181"/>
      <c r="B457" s="183">
        <f t="shared" si="72"/>
        <v>13</v>
      </c>
      <c r="C457" s="107" t="str">
        <f t="shared" si="73"/>
        <v>ATK</v>
      </c>
      <c r="D457" s="2" t="s">
        <v>1352</v>
      </c>
      <c r="E457" s="3">
        <v>43915</v>
      </c>
      <c r="F457" s="3">
        <v>43917</v>
      </c>
      <c r="G457" s="108">
        <f t="shared" si="74"/>
        <v>3</v>
      </c>
      <c r="H457" s="108" t="str">
        <f t="shared" si="75"/>
        <v>완료</v>
      </c>
      <c r="I457" s="112" t="s">
        <v>609</v>
      </c>
      <c r="J457" s="4" t="s">
        <v>547</v>
      </c>
      <c r="K457" s="5" t="s">
        <v>548</v>
      </c>
      <c r="L457" s="6" t="str">
        <f t="shared" si="68"/>
        <v>6T2</v>
      </c>
      <c r="M457" s="13" t="s">
        <v>270</v>
      </c>
      <c r="N457" s="7" t="s">
        <v>3598</v>
      </c>
      <c r="O457" s="13" t="s">
        <v>270</v>
      </c>
      <c r="P457" s="115" t="s">
        <v>271</v>
      </c>
      <c r="Q457" s="8" t="s">
        <v>1354</v>
      </c>
      <c r="R457" s="2">
        <v>1</v>
      </c>
      <c r="S457" s="9">
        <v>1600</v>
      </c>
      <c r="T457" s="10">
        <f t="shared" si="69"/>
        <v>800</v>
      </c>
      <c r="U457" s="9">
        <v>0</v>
      </c>
      <c r="V457" s="10">
        <f t="shared" si="70"/>
        <v>800</v>
      </c>
      <c r="W457" s="4" t="s">
        <v>122</v>
      </c>
      <c r="X457" s="2"/>
      <c r="Y457" s="11">
        <v>4</v>
      </c>
      <c r="Z457" s="12">
        <f t="shared" si="71"/>
        <v>2</v>
      </c>
      <c r="AA457" s="4" t="s">
        <v>1357</v>
      </c>
      <c r="AC457" s="176">
        <f t="shared" si="67"/>
        <v>0</v>
      </c>
    </row>
    <row r="458" spans="1:29" customFormat="1">
      <c r="A458" s="181"/>
      <c r="B458" s="183">
        <f t="shared" si="72"/>
        <v>13</v>
      </c>
      <c r="C458" s="107" t="str">
        <f t="shared" si="73"/>
        <v>ATK</v>
      </c>
      <c r="D458" s="2" t="s">
        <v>382</v>
      </c>
      <c r="E458" s="3">
        <v>43915</v>
      </c>
      <c r="F458" s="3">
        <v>43917</v>
      </c>
      <c r="G458" s="108">
        <f t="shared" si="74"/>
        <v>3</v>
      </c>
      <c r="H458" s="108" t="str">
        <f t="shared" si="75"/>
        <v>완료</v>
      </c>
      <c r="I458" s="112" t="s">
        <v>1358</v>
      </c>
      <c r="J458" s="4" t="s">
        <v>1359</v>
      </c>
      <c r="K458" s="5" t="s">
        <v>1360</v>
      </c>
      <c r="L458" s="6" t="str">
        <f t="shared" si="68"/>
        <v>6T2</v>
      </c>
      <c r="M458" s="13" t="s">
        <v>270</v>
      </c>
      <c r="N458" s="7" t="s">
        <v>3598</v>
      </c>
      <c r="O458" s="13" t="s">
        <v>270</v>
      </c>
      <c r="P458" s="115" t="s">
        <v>271</v>
      </c>
      <c r="Q458" s="8"/>
      <c r="R458" s="2">
        <v>1</v>
      </c>
      <c r="S458" s="9">
        <v>1600</v>
      </c>
      <c r="T458" s="10">
        <f t="shared" si="69"/>
        <v>800</v>
      </c>
      <c r="U458" s="9">
        <v>0</v>
      </c>
      <c r="V458" s="10">
        <f t="shared" si="70"/>
        <v>800</v>
      </c>
      <c r="W458" s="4" t="s">
        <v>122</v>
      </c>
      <c r="X458" s="2"/>
      <c r="Y458" s="11">
        <v>1</v>
      </c>
      <c r="Z458" s="12">
        <f t="shared" si="71"/>
        <v>2</v>
      </c>
      <c r="AA458" s="4" t="s">
        <v>1357</v>
      </c>
      <c r="AC458" s="176">
        <f t="shared" si="67"/>
        <v>0</v>
      </c>
    </row>
    <row r="459" spans="1:29" customFormat="1">
      <c r="A459" s="181"/>
      <c r="B459" s="183">
        <f t="shared" si="72"/>
        <v>13</v>
      </c>
      <c r="C459" s="107" t="str">
        <f t="shared" si="73"/>
        <v>ATK</v>
      </c>
      <c r="D459" s="2" t="s">
        <v>1355</v>
      </c>
      <c r="E459" s="3">
        <v>43908</v>
      </c>
      <c r="F459" s="3">
        <v>43917</v>
      </c>
      <c r="G459" s="108">
        <f t="shared" si="74"/>
        <v>3</v>
      </c>
      <c r="H459" s="108" t="str">
        <f t="shared" si="75"/>
        <v>Other</v>
      </c>
      <c r="I459" s="112" t="s">
        <v>1353</v>
      </c>
      <c r="J459" s="4" t="s">
        <v>481</v>
      </c>
      <c r="K459" s="5" t="s">
        <v>621</v>
      </c>
      <c r="L459" s="6" t="str">
        <f t="shared" si="68"/>
        <v>2T3</v>
      </c>
      <c r="M459" s="13" t="s">
        <v>270</v>
      </c>
      <c r="N459" s="7" t="s">
        <v>3598</v>
      </c>
      <c r="O459" s="13" t="s">
        <v>270</v>
      </c>
      <c r="P459" s="115" t="s">
        <v>271</v>
      </c>
      <c r="Q459" s="8" t="s">
        <v>1356</v>
      </c>
      <c r="R459" s="2">
        <v>1</v>
      </c>
      <c r="S459" s="9">
        <v>1600</v>
      </c>
      <c r="T459" s="10">
        <f t="shared" si="69"/>
        <v>800</v>
      </c>
      <c r="U459" s="9">
        <v>0</v>
      </c>
      <c r="V459" s="10">
        <f t="shared" si="70"/>
        <v>800</v>
      </c>
      <c r="W459" s="4" t="s">
        <v>122</v>
      </c>
      <c r="X459" s="2"/>
      <c r="Y459" s="11">
        <v>1</v>
      </c>
      <c r="Z459" s="12">
        <f t="shared" si="71"/>
        <v>9</v>
      </c>
      <c r="AA459" s="4" t="s">
        <v>1357</v>
      </c>
      <c r="AC459" s="176">
        <f t="shared" si="67"/>
        <v>0</v>
      </c>
    </row>
    <row r="460" spans="1:29" customFormat="1">
      <c r="A460" s="181"/>
      <c r="B460" s="183">
        <f t="shared" si="72"/>
        <v>13</v>
      </c>
      <c r="C460" s="107" t="str">
        <f t="shared" si="73"/>
        <v>ATK</v>
      </c>
      <c r="D460" s="2" t="s">
        <v>192</v>
      </c>
      <c r="E460" s="3">
        <v>43917</v>
      </c>
      <c r="F460" s="3">
        <v>43917</v>
      </c>
      <c r="G460" s="108">
        <f t="shared" si="74"/>
        <v>3</v>
      </c>
      <c r="H460" s="108" t="str">
        <f t="shared" si="75"/>
        <v>완료</v>
      </c>
      <c r="I460" s="112" t="s">
        <v>218</v>
      </c>
      <c r="J460" s="4" t="s">
        <v>118</v>
      </c>
      <c r="K460" s="5" t="s">
        <v>119</v>
      </c>
      <c r="L460" s="6" t="str">
        <f t="shared" si="68"/>
        <v>2T3</v>
      </c>
      <c r="M460" s="13" t="s">
        <v>1363</v>
      </c>
      <c r="N460" s="7" t="s">
        <v>3680</v>
      </c>
      <c r="O460" s="7" t="s">
        <v>1362</v>
      </c>
      <c r="P460" s="7" t="s">
        <v>1361</v>
      </c>
      <c r="Q460" s="8"/>
      <c r="R460" s="2">
        <v>1</v>
      </c>
      <c r="S460" s="9">
        <v>200</v>
      </c>
      <c r="T460" s="10">
        <f t="shared" si="69"/>
        <v>100</v>
      </c>
      <c r="U460" s="9">
        <v>0</v>
      </c>
      <c r="V460" s="10">
        <f t="shared" si="70"/>
        <v>100</v>
      </c>
      <c r="W460" s="4" t="s">
        <v>122</v>
      </c>
      <c r="X460" s="2"/>
      <c r="Y460" s="11">
        <v>2</v>
      </c>
      <c r="Z460" s="12">
        <f t="shared" si="71"/>
        <v>0</v>
      </c>
      <c r="AA460" s="4" t="s">
        <v>212</v>
      </c>
      <c r="AC460" s="176">
        <f t="shared" si="67"/>
        <v>0</v>
      </c>
    </row>
    <row r="461" spans="1:29" customFormat="1">
      <c r="A461" s="181"/>
      <c r="B461" s="183">
        <f t="shared" si="72"/>
        <v>14</v>
      </c>
      <c r="C461" s="107" t="str">
        <f t="shared" si="73"/>
        <v>ATK</v>
      </c>
      <c r="D461" s="2" t="s">
        <v>1364</v>
      </c>
      <c r="E461" s="3">
        <v>43917</v>
      </c>
      <c r="F461" s="3">
        <v>43924</v>
      </c>
      <c r="G461" s="108">
        <f t="shared" si="74"/>
        <v>4</v>
      </c>
      <c r="H461" s="108" t="str">
        <f t="shared" si="75"/>
        <v>완료</v>
      </c>
      <c r="I461" s="112" t="s">
        <v>514</v>
      </c>
      <c r="J461" s="4" t="s">
        <v>281</v>
      </c>
      <c r="K461" s="5" t="s">
        <v>332</v>
      </c>
      <c r="L461" s="6" t="str">
        <f t="shared" si="68"/>
        <v>EE2</v>
      </c>
      <c r="M461" s="13" t="s">
        <v>226</v>
      </c>
      <c r="N461" s="7" t="s">
        <v>3681</v>
      </c>
      <c r="O461" s="191" t="s">
        <v>1365</v>
      </c>
      <c r="P461" s="115"/>
      <c r="Q461" s="8" t="s">
        <v>1371</v>
      </c>
      <c r="R461" s="2">
        <v>1</v>
      </c>
      <c r="S461" s="9">
        <v>2000</v>
      </c>
      <c r="T461" s="10">
        <f t="shared" si="69"/>
        <v>1000</v>
      </c>
      <c r="U461" s="9">
        <v>600</v>
      </c>
      <c r="V461" s="10">
        <f t="shared" si="70"/>
        <v>400</v>
      </c>
      <c r="W461" s="4" t="s">
        <v>123</v>
      </c>
      <c r="X461" s="2" t="s">
        <v>29</v>
      </c>
      <c r="Y461" s="11">
        <v>2</v>
      </c>
      <c r="Z461" s="12">
        <f t="shared" si="71"/>
        <v>7</v>
      </c>
      <c r="AA461" s="4" t="s">
        <v>30</v>
      </c>
      <c r="AC461" s="176">
        <f t="shared" si="67"/>
        <v>0.54545454545454541</v>
      </c>
    </row>
    <row r="462" spans="1:29" customFormat="1">
      <c r="A462" s="181"/>
      <c r="B462" s="183">
        <f t="shared" si="72"/>
        <v>14</v>
      </c>
      <c r="C462" s="107" t="str">
        <f t="shared" si="73"/>
        <v>ATK</v>
      </c>
      <c r="D462" s="2" t="s">
        <v>1366</v>
      </c>
      <c r="E462" s="3">
        <v>43920</v>
      </c>
      <c r="F462" s="3">
        <v>43920</v>
      </c>
      <c r="G462" s="108">
        <f t="shared" si="74"/>
        <v>3</v>
      </c>
      <c r="H462" s="108" t="str">
        <f t="shared" si="75"/>
        <v>완료</v>
      </c>
      <c r="I462" s="112" t="s">
        <v>218</v>
      </c>
      <c r="J462" s="4" t="s">
        <v>792</v>
      </c>
      <c r="K462" s="5" t="s">
        <v>793</v>
      </c>
      <c r="L462" s="6" t="str">
        <f t="shared" si="68"/>
        <v>3T3</v>
      </c>
      <c r="M462" s="13" t="s">
        <v>230</v>
      </c>
      <c r="N462" s="7" t="s">
        <v>3682</v>
      </c>
      <c r="O462" s="13" t="s">
        <v>1367</v>
      </c>
      <c r="P462" s="115" t="s">
        <v>1368</v>
      </c>
      <c r="Q462" s="8"/>
      <c r="R462" s="2">
        <v>1</v>
      </c>
      <c r="S462" s="9">
        <v>1600</v>
      </c>
      <c r="T462" s="10">
        <f t="shared" si="69"/>
        <v>800</v>
      </c>
      <c r="U462" s="9">
        <v>200</v>
      </c>
      <c r="V462" s="10">
        <f t="shared" si="70"/>
        <v>600</v>
      </c>
      <c r="W462" s="4" t="s">
        <v>1369</v>
      </c>
      <c r="X462" s="2"/>
      <c r="Y462" s="11">
        <v>2</v>
      </c>
      <c r="Z462" s="12">
        <f t="shared" si="71"/>
        <v>0</v>
      </c>
      <c r="AA462" s="4" t="s">
        <v>1370</v>
      </c>
      <c r="AB462" s="176"/>
      <c r="AC462" s="176">
        <f t="shared" si="67"/>
        <v>0.18181818181818182</v>
      </c>
    </row>
    <row r="463" spans="1:29" customFormat="1">
      <c r="A463" s="181"/>
      <c r="B463" s="183">
        <f t="shared" si="72"/>
        <v>14</v>
      </c>
      <c r="C463" s="107" t="str">
        <f t="shared" si="73"/>
        <v>ATK</v>
      </c>
      <c r="D463" s="2" t="s">
        <v>291</v>
      </c>
      <c r="E463" s="3">
        <v>43906</v>
      </c>
      <c r="F463" s="3">
        <v>43924</v>
      </c>
      <c r="G463" s="108">
        <f t="shared" si="74"/>
        <v>4</v>
      </c>
      <c r="H463" s="108" t="str">
        <f t="shared" si="75"/>
        <v>완료</v>
      </c>
      <c r="I463" s="112" t="s">
        <v>218</v>
      </c>
      <c r="J463" s="4" t="s">
        <v>132</v>
      </c>
      <c r="K463" s="5" t="s">
        <v>133</v>
      </c>
      <c r="L463" s="6" t="str">
        <f t="shared" si="68"/>
        <v>3T3</v>
      </c>
      <c r="M463" s="13" t="s">
        <v>1178</v>
      </c>
      <c r="N463" s="7" t="s">
        <v>3683</v>
      </c>
      <c r="O463" s="13" t="s">
        <v>1372</v>
      </c>
      <c r="P463" s="115" t="s">
        <v>1429</v>
      </c>
      <c r="Q463" s="8" t="s">
        <v>1430</v>
      </c>
      <c r="R463" s="2">
        <v>1</v>
      </c>
      <c r="S463" s="9">
        <v>500</v>
      </c>
      <c r="T463" s="10">
        <f t="shared" si="69"/>
        <v>250</v>
      </c>
      <c r="U463" s="9">
        <v>1</v>
      </c>
      <c r="V463" s="10">
        <f t="shared" si="70"/>
        <v>249</v>
      </c>
      <c r="W463" s="4" t="s">
        <v>122</v>
      </c>
      <c r="X463" s="2"/>
      <c r="Y463" s="11">
        <v>4</v>
      </c>
      <c r="Z463" s="12">
        <f t="shared" si="71"/>
        <v>18</v>
      </c>
      <c r="AA463" s="4" t="s">
        <v>212</v>
      </c>
      <c r="AC463" s="176">
        <f t="shared" si="67"/>
        <v>9.0909090909090909E-4</v>
      </c>
    </row>
    <row r="464" spans="1:29" customFormat="1">
      <c r="A464" s="181"/>
      <c r="B464" s="183">
        <f t="shared" si="72"/>
        <v>14</v>
      </c>
      <c r="C464" s="107" t="str">
        <f t="shared" si="73"/>
        <v>ATK</v>
      </c>
      <c r="D464" s="2" t="s">
        <v>291</v>
      </c>
      <c r="E464" s="3">
        <v>43906</v>
      </c>
      <c r="F464" s="3">
        <v>43924</v>
      </c>
      <c r="G464" s="108">
        <f t="shared" si="74"/>
        <v>4</v>
      </c>
      <c r="H464" s="108" t="str">
        <f t="shared" si="75"/>
        <v>완료</v>
      </c>
      <c r="I464" s="112" t="s">
        <v>218</v>
      </c>
      <c r="J464" s="4" t="s">
        <v>132</v>
      </c>
      <c r="K464" s="5" t="s">
        <v>133</v>
      </c>
      <c r="L464" s="6" t="str">
        <f t="shared" si="68"/>
        <v>3T3</v>
      </c>
      <c r="M464" s="13" t="s">
        <v>1178</v>
      </c>
      <c r="N464" s="7" t="s">
        <v>3684</v>
      </c>
      <c r="O464" s="13" t="s">
        <v>1373</v>
      </c>
      <c r="P464" s="115" t="s">
        <v>1431</v>
      </c>
      <c r="Q464" s="8" t="s">
        <v>1430</v>
      </c>
      <c r="R464" s="2">
        <v>1</v>
      </c>
      <c r="S464" s="9">
        <v>1500</v>
      </c>
      <c r="T464" s="10">
        <f t="shared" si="69"/>
        <v>750</v>
      </c>
      <c r="U464" s="9">
        <v>1</v>
      </c>
      <c r="V464" s="10">
        <f t="shared" si="70"/>
        <v>749</v>
      </c>
      <c r="W464" s="4" t="s">
        <v>122</v>
      </c>
      <c r="X464" s="2"/>
      <c r="Y464" s="11">
        <v>4</v>
      </c>
      <c r="Z464" s="12">
        <f t="shared" si="71"/>
        <v>18</v>
      </c>
      <c r="AA464" s="4" t="s">
        <v>212</v>
      </c>
      <c r="AC464" s="176">
        <f t="shared" si="67"/>
        <v>9.0909090909090909E-4</v>
      </c>
    </row>
    <row r="465" spans="1:29" customFormat="1">
      <c r="A465" s="181"/>
      <c r="B465" s="183">
        <f t="shared" si="72"/>
        <v>14</v>
      </c>
      <c r="C465" s="107" t="str">
        <f t="shared" si="73"/>
        <v>ATK</v>
      </c>
      <c r="D465" s="2" t="s">
        <v>1306</v>
      </c>
      <c r="E465" s="3">
        <v>43920</v>
      </c>
      <c r="F465" s="3">
        <v>43920</v>
      </c>
      <c r="G465" s="108">
        <f t="shared" si="74"/>
        <v>3</v>
      </c>
      <c r="H465" s="108" t="str">
        <f t="shared" si="75"/>
        <v>완료</v>
      </c>
      <c r="I465" s="112" t="s">
        <v>264</v>
      </c>
      <c r="J465" s="4" t="s">
        <v>121</v>
      </c>
      <c r="K465" s="5" t="s">
        <v>136</v>
      </c>
      <c r="L465" s="6" t="str">
        <f t="shared" si="68"/>
        <v>5T1</v>
      </c>
      <c r="M465" s="13" t="s">
        <v>354</v>
      </c>
      <c r="N465" s="13" t="s">
        <v>3526</v>
      </c>
      <c r="O465" s="7" t="s">
        <v>230</v>
      </c>
      <c r="P465" s="115" t="s">
        <v>355</v>
      </c>
      <c r="Q465" s="8"/>
      <c r="R465" s="2">
        <v>1</v>
      </c>
      <c r="S465" s="9">
        <v>500</v>
      </c>
      <c r="T465" s="10">
        <f t="shared" si="69"/>
        <v>250</v>
      </c>
      <c r="U465" s="9">
        <v>100</v>
      </c>
      <c r="V465" s="10">
        <f t="shared" si="70"/>
        <v>150</v>
      </c>
      <c r="W465" s="4" t="s">
        <v>122</v>
      </c>
      <c r="X465" s="2"/>
      <c r="Y465" s="11">
        <v>2</v>
      </c>
      <c r="Z465" s="12">
        <f t="shared" si="71"/>
        <v>0</v>
      </c>
      <c r="AA465" s="4" t="s">
        <v>356</v>
      </c>
      <c r="AC465" s="176">
        <f t="shared" si="67"/>
        <v>9.0909090909090912E-2</v>
      </c>
    </row>
    <row r="466" spans="1:29" customFormat="1">
      <c r="A466" s="181"/>
      <c r="B466" s="183">
        <f t="shared" si="72"/>
        <v>14</v>
      </c>
      <c r="C466" s="107" t="str">
        <f t="shared" si="73"/>
        <v>ATK</v>
      </c>
      <c r="D466" s="2" t="s">
        <v>1306</v>
      </c>
      <c r="E466" s="3">
        <v>43920</v>
      </c>
      <c r="F466" s="3">
        <v>43924</v>
      </c>
      <c r="G466" s="108">
        <f t="shared" si="74"/>
        <v>4</v>
      </c>
      <c r="H466" s="108" t="str">
        <f t="shared" si="75"/>
        <v>완료</v>
      </c>
      <c r="I466" s="112" t="s">
        <v>264</v>
      </c>
      <c r="J466" s="4" t="s">
        <v>121</v>
      </c>
      <c r="K466" s="5" t="s">
        <v>136</v>
      </c>
      <c r="L466" s="6" t="str">
        <f t="shared" si="68"/>
        <v>5T1</v>
      </c>
      <c r="M466" s="13" t="s">
        <v>1374</v>
      </c>
      <c r="N466" s="7" t="s">
        <v>3685</v>
      </c>
      <c r="O466" s="13" t="s">
        <v>225</v>
      </c>
      <c r="P466" s="115" t="s">
        <v>1428</v>
      </c>
      <c r="Q466" s="8"/>
      <c r="R466" s="2">
        <v>1</v>
      </c>
      <c r="S466" s="9">
        <v>10000</v>
      </c>
      <c r="T466" s="10">
        <f t="shared" si="69"/>
        <v>5000</v>
      </c>
      <c r="U466" s="9">
        <v>50</v>
      </c>
      <c r="V466" s="10">
        <f t="shared" si="70"/>
        <v>4950</v>
      </c>
      <c r="W466" s="4" t="s">
        <v>122</v>
      </c>
      <c r="X466" s="2"/>
      <c r="Y466" s="11">
        <v>12</v>
      </c>
      <c r="Z466" s="12">
        <f t="shared" si="71"/>
        <v>4</v>
      </c>
      <c r="AA466" s="4" t="s">
        <v>27</v>
      </c>
      <c r="AC466" s="176">
        <f t="shared" si="67"/>
        <v>4.5454545454545456E-2</v>
      </c>
    </row>
    <row r="467" spans="1:29" customFormat="1">
      <c r="A467" s="181"/>
      <c r="B467" s="183">
        <f t="shared" si="72"/>
        <v>14</v>
      </c>
      <c r="C467" s="107" t="str">
        <f t="shared" si="73"/>
        <v>ATK</v>
      </c>
      <c r="D467" s="2" t="s">
        <v>933</v>
      </c>
      <c r="E467" s="3">
        <v>43920</v>
      </c>
      <c r="F467" s="3">
        <v>43921</v>
      </c>
      <c r="G467" s="108">
        <f t="shared" si="74"/>
        <v>3</v>
      </c>
      <c r="H467" s="108" t="str">
        <f t="shared" si="75"/>
        <v>완료</v>
      </c>
      <c r="I467" s="112" t="s">
        <v>264</v>
      </c>
      <c r="J467" s="4" t="s">
        <v>115</v>
      </c>
      <c r="K467" s="5" t="s">
        <v>138</v>
      </c>
      <c r="L467" s="6" t="str">
        <f t="shared" si="68"/>
        <v>EE1</v>
      </c>
      <c r="M467" s="13" t="s">
        <v>934</v>
      </c>
      <c r="N467" s="13" t="s">
        <v>140</v>
      </c>
      <c r="O467" s="7" t="s">
        <v>935</v>
      </c>
      <c r="P467" s="115" t="s">
        <v>936</v>
      </c>
      <c r="Q467" s="8"/>
      <c r="R467" s="2">
        <v>1</v>
      </c>
      <c r="S467" s="9">
        <v>2800</v>
      </c>
      <c r="T467" s="10">
        <f t="shared" si="69"/>
        <v>1400</v>
      </c>
      <c r="U467" s="9">
        <v>50</v>
      </c>
      <c r="V467" s="10">
        <f t="shared" si="70"/>
        <v>1350</v>
      </c>
      <c r="W467" s="4" t="s">
        <v>122</v>
      </c>
      <c r="X467" s="2"/>
      <c r="Y467" s="11">
        <v>4</v>
      </c>
      <c r="Z467" s="12">
        <f t="shared" si="71"/>
        <v>1</v>
      </c>
      <c r="AA467" s="4" t="s">
        <v>174</v>
      </c>
      <c r="AC467" s="176">
        <f t="shared" si="67"/>
        <v>4.5454545454545456E-2</v>
      </c>
    </row>
    <row r="468" spans="1:29" customFormat="1">
      <c r="A468" s="181"/>
      <c r="B468" s="183">
        <f t="shared" si="72"/>
        <v>14</v>
      </c>
      <c r="C468" s="107" t="str">
        <f t="shared" si="73"/>
        <v>ATK</v>
      </c>
      <c r="D468" s="2" t="s">
        <v>455</v>
      </c>
      <c r="E468" s="3">
        <v>43920</v>
      </c>
      <c r="F468" s="3">
        <v>43920</v>
      </c>
      <c r="G468" s="108">
        <f t="shared" si="74"/>
        <v>3</v>
      </c>
      <c r="H468" s="108" t="str">
        <f t="shared" si="75"/>
        <v>완료</v>
      </c>
      <c r="I468" s="112" t="s">
        <v>218</v>
      </c>
      <c r="J468" s="4" t="s">
        <v>118</v>
      </c>
      <c r="K468" s="5" t="s">
        <v>137</v>
      </c>
      <c r="L468" s="6" t="str">
        <f t="shared" si="68"/>
        <v>2T2</v>
      </c>
      <c r="M468" s="13" t="s">
        <v>1024</v>
      </c>
      <c r="N468" s="7" t="s">
        <v>3686</v>
      </c>
      <c r="O468" s="13" t="s">
        <v>1166</v>
      </c>
      <c r="P468" s="115" t="s">
        <v>1167</v>
      </c>
      <c r="Q468" s="8"/>
      <c r="R468" s="2">
        <v>1</v>
      </c>
      <c r="S468" s="9">
        <v>2500</v>
      </c>
      <c r="T468" s="10">
        <f t="shared" si="69"/>
        <v>1250</v>
      </c>
      <c r="U468" s="9">
        <v>10</v>
      </c>
      <c r="V468" s="10">
        <f t="shared" si="70"/>
        <v>1240</v>
      </c>
      <c r="W468" s="4" t="s">
        <v>122</v>
      </c>
      <c r="X468" s="2"/>
      <c r="Y468" s="11">
        <v>8</v>
      </c>
      <c r="Z468" s="12">
        <f t="shared" si="71"/>
        <v>0</v>
      </c>
      <c r="AA468" s="4" t="s">
        <v>259</v>
      </c>
      <c r="AC468" s="176">
        <f t="shared" si="67"/>
        <v>9.0909090909090905E-3</v>
      </c>
    </row>
    <row r="469" spans="1:29" customFormat="1">
      <c r="A469" s="181"/>
      <c r="B469" s="183">
        <f t="shared" si="72"/>
        <v>14</v>
      </c>
      <c r="C469" s="107" t="str">
        <f t="shared" si="73"/>
        <v>ATK</v>
      </c>
      <c r="D469" s="2" t="s">
        <v>338</v>
      </c>
      <c r="E469" s="3">
        <v>43917</v>
      </c>
      <c r="F469" s="3">
        <v>43921</v>
      </c>
      <c r="G469" s="108">
        <f t="shared" si="74"/>
        <v>3</v>
      </c>
      <c r="H469" s="108" t="str">
        <f t="shared" si="75"/>
        <v>완료</v>
      </c>
      <c r="I469" s="112" t="s">
        <v>218</v>
      </c>
      <c r="J469" s="4" t="s">
        <v>281</v>
      </c>
      <c r="K469" s="5" t="s">
        <v>332</v>
      </c>
      <c r="L469" s="6" t="str">
        <f t="shared" si="68"/>
        <v>EE2</v>
      </c>
      <c r="M469" s="13" t="s">
        <v>813</v>
      </c>
      <c r="N469" s="7" t="s">
        <v>3687</v>
      </c>
      <c r="O469" s="13" t="s">
        <v>1376</v>
      </c>
      <c r="P469" s="115" t="s">
        <v>1377</v>
      </c>
      <c r="Q469" s="8"/>
      <c r="R469" s="2">
        <v>1</v>
      </c>
      <c r="S469" s="9">
        <v>1500</v>
      </c>
      <c r="T469" s="10">
        <f t="shared" si="69"/>
        <v>750</v>
      </c>
      <c r="U469" s="9">
        <v>30</v>
      </c>
      <c r="V469" s="10">
        <f t="shared" si="70"/>
        <v>720</v>
      </c>
      <c r="W469" s="4" t="s">
        <v>122</v>
      </c>
      <c r="X469" s="2"/>
      <c r="Y469" s="11">
        <v>4</v>
      </c>
      <c r="Z469" s="12">
        <f t="shared" si="71"/>
        <v>4</v>
      </c>
      <c r="AA469" s="4" t="s">
        <v>27</v>
      </c>
      <c r="AC469" s="176">
        <f t="shared" si="67"/>
        <v>2.7272727272727271E-2</v>
      </c>
    </row>
    <row r="470" spans="1:29" customFormat="1">
      <c r="A470" s="181"/>
      <c r="B470" s="183">
        <f t="shared" si="72"/>
        <v>14</v>
      </c>
      <c r="C470" s="107" t="str">
        <f t="shared" si="73"/>
        <v>ATK</v>
      </c>
      <c r="D470" s="2" t="s">
        <v>541</v>
      </c>
      <c r="E470" s="3">
        <v>43920</v>
      </c>
      <c r="F470" s="3">
        <v>43921</v>
      </c>
      <c r="G470" s="108">
        <f t="shared" si="74"/>
        <v>3</v>
      </c>
      <c r="H470" s="108" t="str">
        <f t="shared" si="75"/>
        <v>완료</v>
      </c>
      <c r="I470" s="112" t="s">
        <v>218</v>
      </c>
      <c r="J470" s="4" t="s">
        <v>132</v>
      </c>
      <c r="K470" s="5" t="s">
        <v>322</v>
      </c>
      <c r="L470" s="6" t="str">
        <f t="shared" si="68"/>
        <v>3T1</v>
      </c>
      <c r="M470" s="13" t="s">
        <v>813</v>
      </c>
      <c r="N470" s="7" t="s">
        <v>3687</v>
      </c>
      <c r="O470" s="13" t="s">
        <v>1378</v>
      </c>
      <c r="P470" s="115" t="s">
        <v>1379</v>
      </c>
      <c r="Q470" s="8"/>
      <c r="R470" s="2">
        <v>1</v>
      </c>
      <c r="S470" s="9">
        <v>100</v>
      </c>
      <c r="T470" s="10">
        <f t="shared" si="69"/>
        <v>50</v>
      </c>
      <c r="U470" s="9"/>
      <c r="V470" s="10">
        <f t="shared" si="70"/>
        <v>50</v>
      </c>
      <c r="W470" s="4" t="s">
        <v>122</v>
      </c>
      <c r="X470" s="2"/>
      <c r="Y470" s="11">
        <v>5</v>
      </c>
      <c r="Z470" s="12">
        <f t="shared" si="71"/>
        <v>1</v>
      </c>
      <c r="AA470" s="4" t="s">
        <v>212</v>
      </c>
      <c r="AC470" s="176">
        <f t="shared" si="67"/>
        <v>0</v>
      </c>
    </row>
    <row r="471" spans="1:29" customFormat="1">
      <c r="A471" s="181"/>
      <c r="B471" s="183">
        <f t="shared" si="72"/>
        <v>14</v>
      </c>
      <c r="C471" s="107" t="str">
        <f t="shared" si="73"/>
        <v>ATK</v>
      </c>
      <c r="D471" s="2" t="s">
        <v>280</v>
      </c>
      <c r="E471" s="3">
        <v>43921</v>
      </c>
      <c r="F471" s="3">
        <v>43921</v>
      </c>
      <c r="G471" s="108">
        <f t="shared" si="74"/>
        <v>3</v>
      </c>
      <c r="H471" s="108" t="str">
        <f t="shared" si="75"/>
        <v>완료</v>
      </c>
      <c r="I471" s="112" t="s">
        <v>218</v>
      </c>
      <c r="J471" s="4" t="s">
        <v>115</v>
      </c>
      <c r="K471" s="5" t="s">
        <v>138</v>
      </c>
      <c r="L471" s="6" t="str">
        <f t="shared" si="68"/>
        <v>EE1</v>
      </c>
      <c r="M471" s="13" t="s">
        <v>1380</v>
      </c>
      <c r="N471" s="7" t="s">
        <v>3688</v>
      </c>
      <c r="O471" s="13" t="s">
        <v>1381</v>
      </c>
      <c r="P471" s="115" t="s">
        <v>1382</v>
      </c>
      <c r="Q471" s="8"/>
      <c r="R471" s="2">
        <v>1</v>
      </c>
      <c r="S471" s="9">
        <v>2000</v>
      </c>
      <c r="T471" s="10">
        <f t="shared" si="69"/>
        <v>1000</v>
      </c>
      <c r="U471" s="9">
        <v>0</v>
      </c>
      <c r="V471" s="10">
        <f t="shared" si="70"/>
        <v>1000</v>
      </c>
      <c r="W471" s="4" t="s">
        <v>122</v>
      </c>
      <c r="X471" s="2"/>
      <c r="Y471" s="11">
        <v>5</v>
      </c>
      <c r="Z471" s="12">
        <f t="shared" si="71"/>
        <v>0</v>
      </c>
      <c r="AA471" s="4" t="s">
        <v>212</v>
      </c>
      <c r="AC471" s="176">
        <f t="shared" si="67"/>
        <v>0</v>
      </c>
    </row>
    <row r="472" spans="1:29" customFormat="1">
      <c r="A472" s="181"/>
      <c r="B472" s="183">
        <f t="shared" si="72"/>
        <v>14</v>
      </c>
      <c r="C472" s="107" t="str">
        <f t="shared" si="73"/>
        <v>ATK</v>
      </c>
      <c r="D472" s="2" t="s">
        <v>541</v>
      </c>
      <c r="E472" s="3">
        <v>43920</v>
      </c>
      <c r="F472" s="3">
        <v>43921</v>
      </c>
      <c r="G472" s="108">
        <f t="shared" si="74"/>
        <v>3</v>
      </c>
      <c r="H472" s="108" t="str">
        <f t="shared" si="75"/>
        <v>완료</v>
      </c>
      <c r="I472" s="112" t="s">
        <v>218</v>
      </c>
      <c r="J472" s="4" t="s">
        <v>132</v>
      </c>
      <c r="K472" s="5" t="s">
        <v>322</v>
      </c>
      <c r="L472" s="6" t="str">
        <f t="shared" si="68"/>
        <v>3T1</v>
      </c>
      <c r="M472" s="13" t="s">
        <v>813</v>
      </c>
      <c r="N472" s="7" t="s">
        <v>3687</v>
      </c>
      <c r="O472" s="13" t="s">
        <v>1378</v>
      </c>
      <c r="P472" s="115" t="s">
        <v>1379</v>
      </c>
      <c r="Q472" s="8"/>
      <c r="R472" s="2">
        <v>1</v>
      </c>
      <c r="S472" s="9">
        <v>100</v>
      </c>
      <c r="T472" s="10">
        <f t="shared" si="69"/>
        <v>50</v>
      </c>
      <c r="U472" s="9">
        <v>0</v>
      </c>
      <c r="V472" s="10">
        <f t="shared" si="70"/>
        <v>50</v>
      </c>
      <c r="W472" s="4" t="s">
        <v>122</v>
      </c>
      <c r="X472" s="2"/>
      <c r="Y472" s="11">
        <v>5</v>
      </c>
      <c r="Z472" s="12">
        <f t="shared" si="71"/>
        <v>1</v>
      </c>
      <c r="AA472" s="4" t="s">
        <v>120</v>
      </c>
      <c r="AC472" s="176">
        <f t="shared" si="67"/>
        <v>0</v>
      </c>
    </row>
    <row r="473" spans="1:29" customFormat="1">
      <c r="A473" s="181"/>
      <c r="B473" s="183">
        <f t="shared" si="72"/>
        <v>14</v>
      </c>
      <c r="C473" s="107" t="str">
        <f t="shared" si="73"/>
        <v>ATK</v>
      </c>
      <c r="D473" s="2" t="s">
        <v>1383</v>
      </c>
      <c r="E473" s="3">
        <v>43921</v>
      </c>
      <c r="F473" s="3">
        <v>43921</v>
      </c>
      <c r="G473" s="108">
        <f t="shared" si="74"/>
        <v>3</v>
      </c>
      <c r="H473" s="108" t="str">
        <f t="shared" si="75"/>
        <v>완료</v>
      </c>
      <c r="I473" s="112" t="s">
        <v>218</v>
      </c>
      <c r="J473" s="4" t="s">
        <v>118</v>
      </c>
      <c r="K473" s="5" t="s">
        <v>134</v>
      </c>
      <c r="L473" s="6" t="str">
        <f t="shared" si="68"/>
        <v>2T1</v>
      </c>
      <c r="M473" s="13" t="s">
        <v>323</v>
      </c>
      <c r="N473" s="7" t="s">
        <v>3689</v>
      </c>
      <c r="O473" s="13" t="s">
        <v>339</v>
      </c>
      <c r="P473" s="115" t="s">
        <v>1384</v>
      </c>
      <c r="Q473" s="8" t="s">
        <v>1385</v>
      </c>
      <c r="R473" s="2">
        <v>1</v>
      </c>
      <c r="S473" s="9">
        <v>4000</v>
      </c>
      <c r="T473" s="10">
        <f t="shared" si="69"/>
        <v>2000</v>
      </c>
      <c r="U473" s="9">
        <v>0</v>
      </c>
      <c r="V473" s="10">
        <f t="shared" si="70"/>
        <v>2000</v>
      </c>
      <c r="W473" s="4" t="s">
        <v>122</v>
      </c>
      <c r="X473" s="2"/>
      <c r="Y473" s="11">
        <v>4</v>
      </c>
      <c r="Z473" s="12">
        <f t="shared" si="71"/>
        <v>0</v>
      </c>
      <c r="AA473" s="4" t="s">
        <v>120</v>
      </c>
      <c r="AC473" s="176">
        <f t="shared" si="67"/>
        <v>0</v>
      </c>
    </row>
    <row r="474" spans="1:29" customFormat="1">
      <c r="A474" s="181"/>
      <c r="B474" s="183">
        <f t="shared" si="72"/>
        <v>14</v>
      </c>
      <c r="C474" s="107" t="str">
        <f t="shared" si="73"/>
        <v>ATK</v>
      </c>
      <c r="D474" s="2" t="s">
        <v>1386</v>
      </c>
      <c r="E474" s="3">
        <v>43921</v>
      </c>
      <c r="F474" s="3">
        <v>43921</v>
      </c>
      <c r="G474" s="108">
        <f t="shared" si="74"/>
        <v>3</v>
      </c>
      <c r="H474" s="108" t="str">
        <f t="shared" si="75"/>
        <v>완료</v>
      </c>
      <c r="I474" s="112" t="s">
        <v>218</v>
      </c>
      <c r="J474" s="4" t="s">
        <v>132</v>
      </c>
      <c r="K474" s="5" t="s">
        <v>143</v>
      </c>
      <c r="L474" s="6" t="str">
        <f t="shared" si="68"/>
        <v>3T4</v>
      </c>
      <c r="M474" s="13" t="s">
        <v>1246</v>
      </c>
      <c r="N474" s="7" t="s">
        <v>3548</v>
      </c>
      <c r="O474" s="13" t="s">
        <v>367</v>
      </c>
      <c r="P474" s="115" t="s">
        <v>1387</v>
      </c>
      <c r="Q474" s="8"/>
      <c r="R474" s="2">
        <v>2</v>
      </c>
      <c r="S474" s="9">
        <v>1200</v>
      </c>
      <c r="T474" s="10">
        <f t="shared" si="69"/>
        <v>1200</v>
      </c>
      <c r="U474" s="9"/>
      <c r="V474" s="10">
        <f t="shared" si="70"/>
        <v>1200</v>
      </c>
      <c r="W474" s="4" t="s">
        <v>122</v>
      </c>
      <c r="X474" s="2"/>
      <c r="Y474" s="11">
        <v>8</v>
      </c>
      <c r="Z474" s="12">
        <f t="shared" si="71"/>
        <v>0</v>
      </c>
      <c r="AA474" s="4" t="s">
        <v>259</v>
      </c>
      <c r="AC474" s="176">
        <f t="shared" si="67"/>
        <v>0</v>
      </c>
    </row>
    <row r="475" spans="1:29" customFormat="1">
      <c r="A475" s="181"/>
      <c r="B475" s="183">
        <f t="shared" si="72"/>
        <v>14</v>
      </c>
      <c r="C475" s="107" t="str">
        <f t="shared" si="73"/>
        <v>ATK</v>
      </c>
      <c r="D475" s="2" t="s">
        <v>1393</v>
      </c>
      <c r="E475" s="3">
        <v>43921</v>
      </c>
      <c r="F475" s="3">
        <v>43921</v>
      </c>
      <c r="G475" s="108">
        <f t="shared" si="74"/>
        <v>3</v>
      </c>
      <c r="H475" s="108" t="str">
        <f t="shared" si="75"/>
        <v>완료</v>
      </c>
      <c r="I475" s="112" t="s">
        <v>218</v>
      </c>
      <c r="J475" s="4" t="s">
        <v>1388</v>
      </c>
      <c r="K475" s="5" t="s">
        <v>1389</v>
      </c>
      <c r="L475" s="6" t="str">
        <f t="shared" si="68"/>
        <v>2T1</v>
      </c>
      <c r="M475" s="13" t="s">
        <v>270</v>
      </c>
      <c r="N475" s="7" t="s">
        <v>3560</v>
      </c>
      <c r="O475" s="13" t="s">
        <v>270</v>
      </c>
      <c r="P475" s="115" t="s">
        <v>1390</v>
      </c>
      <c r="Q475" s="8"/>
      <c r="R475" s="2">
        <v>2</v>
      </c>
      <c r="S475" s="9">
        <v>910</v>
      </c>
      <c r="T475" s="10">
        <f t="shared" si="69"/>
        <v>910</v>
      </c>
      <c r="U475" s="9">
        <v>150</v>
      </c>
      <c r="V475" s="10">
        <f t="shared" si="70"/>
        <v>760</v>
      </c>
      <c r="W475" s="4" t="s">
        <v>1391</v>
      </c>
      <c r="X475" s="2"/>
      <c r="Y475" s="11">
        <v>4</v>
      </c>
      <c r="Z475" s="12">
        <f t="shared" si="71"/>
        <v>0</v>
      </c>
      <c r="AA475" s="4" t="s">
        <v>1392</v>
      </c>
      <c r="AC475" s="176">
        <f t="shared" si="67"/>
        <v>0.13636363636363635</v>
      </c>
    </row>
    <row r="476" spans="1:29" customFormat="1">
      <c r="A476" s="181"/>
      <c r="B476" s="183">
        <f t="shared" si="72"/>
        <v>14</v>
      </c>
      <c r="C476" s="107" t="str">
        <f t="shared" si="73"/>
        <v>ATK</v>
      </c>
      <c r="D476" s="2" t="s">
        <v>1394</v>
      </c>
      <c r="E476" s="3">
        <v>43922</v>
      </c>
      <c r="F476" s="3">
        <v>43922</v>
      </c>
      <c r="G476" s="108">
        <f t="shared" si="74"/>
        <v>4</v>
      </c>
      <c r="H476" s="108" t="str">
        <f t="shared" si="75"/>
        <v>완료</v>
      </c>
      <c r="I476" s="112" t="s">
        <v>218</v>
      </c>
      <c r="J476" s="4" t="s">
        <v>127</v>
      </c>
      <c r="K476" s="5" t="s">
        <v>209</v>
      </c>
      <c r="L476" s="6" t="str">
        <f t="shared" si="68"/>
        <v>1T2</v>
      </c>
      <c r="M476" s="13" t="s">
        <v>1395</v>
      </c>
      <c r="N476" s="7" t="s">
        <v>3690</v>
      </c>
      <c r="O476" s="13" t="s">
        <v>511</v>
      </c>
      <c r="P476" s="115" t="s">
        <v>1396</v>
      </c>
      <c r="Q476" s="8"/>
      <c r="R476" s="2">
        <v>1</v>
      </c>
      <c r="S476" s="9">
        <v>4000</v>
      </c>
      <c r="T476" s="10">
        <f t="shared" si="69"/>
        <v>2000</v>
      </c>
      <c r="U476" s="9">
        <v>0</v>
      </c>
      <c r="V476" s="10">
        <f t="shared" si="70"/>
        <v>2000</v>
      </c>
      <c r="W476" s="4" t="s">
        <v>122</v>
      </c>
      <c r="X476" s="2"/>
      <c r="Y476" s="11">
        <v>3</v>
      </c>
      <c r="Z476" s="12">
        <f t="shared" si="71"/>
        <v>0</v>
      </c>
      <c r="AA476" s="4" t="s">
        <v>120</v>
      </c>
      <c r="AC476" s="176">
        <f t="shared" si="67"/>
        <v>0</v>
      </c>
    </row>
    <row r="477" spans="1:29" customFormat="1">
      <c r="A477" s="181"/>
      <c r="B477" s="183">
        <f t="shared" si="72"/>
        <v>14</v>
      </c>
      <c r="C477" s="107" t="str">
        <f t="shared" si="73"/>
        <v>ATK</v>
      </c>
      <c r="D477" s="2" t="s">
        <v>255</v>
      </c>
      <c r="E477" s="3">
        <v>43922</v>
      </c>
      <c r="F477" s="3">
        <v>43922</v>
      </c>
      <c r="G477" s="108">
        <f t="shared" si="74"/>
        <v>4</v>
      </c>
      <c r="H477" s="108" t="str">
        <f t="shared" si="75"/>
        <v>완료</v>
      </c>
      <c r="I477" s="112" t="s">
        <v>218</v>
      </c>
      <c r="J477" s="4" t="s">
        <v>1398</v>
      </c>
      <c r="K477" s="5" t="s">
        <v>1399</v>
      </c>
      <c r="L477" s="6" t="str">
        <f t="shared" si="68"/>
        <v>1T3</v>
      </c>
      <c r="M477" s="13" t="s">
        <v>207</v>
      </c>
      <c r="N477" s="7" t="s">
        <v>3679</v>
      </c>
      <c r="O477" s="13" t="s">
        <v>207</v>
      </c>
      <c r="P477" s="115" t="s">
        <v>1397</v>
      </c>
      <c r="Q477" s="8"/>
      <c r="R477" s="2">
        <v>1</v>
      </c>
      <c r="S477" s="9">
        <v>400</v>
      </c>
      <c r="T477" s="10">
        <f t="shared" si="69"/>
        <v>200</v>
      </c>
      <c r="U477" s="9">
        <v>20</v>
      </c>
      <c r="V477" s="10">
        <f t="shared" si="70"/>
        <v>180</v>
      </c>
      <c r="W477" s="4" t="s">
        <v>249</v>
      </c>
      <c r="X477" s="2"/>
      <c r="Y477" s="11">
        <v>2</v>
      </c>
      <c r="Z477" s="12">
        <f t="shared" si="71"/>
        <v>0</v>
      </c>
      <c r="AA477" s="4" t="s">
        <v>174</v>
      </c>
      <c r="AC477" s="176">
        <f t="shared" si="67"/>
        <v>1.8181818181818181E-2</v>
      </c>
    </row>
    <row r="478" spans="1:29" customFormat="1">
      <c r="A478" s="181"/>
      <c r="B478" s="183">
        <f t="shared" si="72"/>
        <v>14</v>
      </c>
      <c r="C478" s="107" t="str">
        <f t="shared" si="73"/>
        <v>ATK</v>
      </c>
      <c r="D478" s="2" t="s">
        <v>1400</v>
      </c>
      <c r="E478" s="3">
        <v>43922</v>
      </c>
      <c r="F478" s="3">
        <v>43922</v>
      </c>
      <c r="G478" s="108">
        <f t="shared" si="74"/>
        <v>4</v>
      </c>
      <c r="H478" s="108" t="str">
        <f t="shared" si="75"/>
        <v>완료</v>
      </c>
      <c r="I478" s="112" t="s">
        <v>218</v>
      </c>
      <c r="J478" s="4" t="s">
        <v>121</v>
      </c>
      <c r="K478" s="5" t="s">
        <v>136</v>
      </c>
      <c r="L478" s="6" t="str">
        <f t="shared" si="68"/>
        <v>5T1</v>
      </c>
      <c r="M478" s="13"/>
      <c r="N478" s="7" t="s">
        <v>3574</v>
      </c>
      <c r="O478" s="13" t="s">
        <v>1327</v>
      </c>
      <c r="P478" s="115" t="s">
        <v>1401</v>
      </c>
      <c r="Q478" s="8"/>
      <c r="R478" s="2">
        <v>2</v>
      </c>
      <c r="S478" s="9">
        <v>1200</v>
      </c>
      <c r="T478" s="10">
        <f t="shared" si="69"/>
        <v>1200</v>
      </c>
      <c r="U478" s="9"/>
      <c r="V478" s="10">
        <f t="shared" si="70"/>
        <v>1200</v>
      </c>
      <c r="W478" s="4" t="s">
        <v>122</v>
      </c>
      <c r="X478" s="2"/>
      <c r="Y478" s="11">
        <v>4</v>
      </c>
      <c r="Z478" s="12">
        <f t="shared" si="71"/>
        <v>0</v>
      </c>
      <c r="AA478" s="4" t="s">
        <v>259</v>
      </c>
      <c r="AC478" s="176">
        <f t="shared" si="67"/>
        <v>0</v>
      </c>
    </row>
    <row r="479" spans="1:29" customFormat="1">
      <c r="A479" s="181"/>
      <c r="B479" s="183">
        <f t="shared" si="72"/>
        <v>14</v>
      </c>
      <c r="C479" s="107" t="str">
        <f t="shared" si="73"/>
        <v>ATK</v>
      </c>
      <c r="D479" s="2" t="s">
        <v>255</v>
      </c>
      <c r="E479" s="3">
        <v>43922</v>
      </c>
      <c r="F479" s="3">
        <v>43922</v>
      </c>
      <c r="G479" s="108">
        <f t="shared" si="74"/>
        <v>4</v>
      </c>
      <c r="H479" s="108" t="str">
        <f t="shared" si="75"/>
        <v>완료</v>
      </c>
      <c r="I479" s="112" t="s">
        <v>218</v>
      </c>
      <c r="J479" s="4" t="s">
        <v>808</v>
      </c>
      <c r="K479" s="5" t="s">
        <v>833</v>
      </c>
      <c r="L479" s="6" t="str">
        <f t="shared" si="68"/>
        <v>1T3</v>
      </c>
      <c r="M479" s="13" t="s">
        <v>256</v>
      </c>
      <c r="N479" s="7" t="s">
        <v>3529</v>
      </c>
      <c r="O479" s="13" t="s">
        <v>1402</v>
      </c>
      <c r="P479" s="115" t="s">
        <v>1403</v>
      </c>
      <c r="Q479" s="8"/>
      <c r="R479" s="2">
        <v>1</v>
      </c>
      <c r="S479" s="9">
        <v>3500</v>
      </c>
      <c r="T479" s="10">
        <f t="shared" si="69"/>
        <v>1750</v>
      </c>
      <c r="U479" s="9">
        <v>15</v>
      </c>
      <c r="V479" s="10">
        <f t="shared" si="70"/>
        <v>1735</v>
      </c>
      <c r="W479" s="4" t="s">
        <v>122</v>
      </c>
      <c r="X479" s="2"/>
      <c r="Y479" s="11">
        <v>2</v>
      </c>
      <c r="Z479" s="12">
        <f t="shared" si="71"/>
        <v>0</v>
      </c>
      <c r="AA479" s="4" t="s">
        <v>27</v>
      </c>
      <c r="AC479" s="176">
        <f t="shared" si="67"/>
        <v>1.3636363636363636E-2</v>
      </c>
    </row>
    <row r="480" spans="1:29" customFormat="1">
      <c r="A480" s="181"/>
      <c r="B480" s="183">
        <f t="shared" si="72"/>
        <v>14</v>
      </c>
      <c r="C480" s="107" t="str">
        <f t="shared" si="73"/>
        <v>ATK</v>
      </c>
      <c r="D480" s="2" t="s">
        <v>914</v>
      </c>
      <c r="E480" s="3">
        <v>43922</v>
      </c>
      <c r="F480" s="3">
        <v>43922</v>
      </c>
      <c r="G480" s="108">
        <f t="shared" si="74"/>
        <v>4</v>
      </c>
      <c r="H480" s="108" t="str">
        <f t="shared" si="75"/>
        <v>완료</v>
      </c>
      <c r="I480" s="112" t="s">
        <v>218</v>
      </c>
      <c r="J480" s="4" t="s">
        <v>127</v>
      </c>
      <c r="K480" s="5" t="s">
        <v>135</v>
      </c>
      <c r="L480" s="6" t="str">
        <f t="shared" si="68"/>
        <v>1T3</v>
      </c>
      <c r="M480" s="13" t="s">
        <v>636</v>
      </c>
      <c r="N480" s="7" t="s">
        <v>3691</v>
      </c>
      <c r="O480" s="13" t="s">
        <v>1404</v>
      </c>
      <c r="P480" s="115" t="s">
        <v>1405</v>
      </c>
      <c r="Q480" s="8" t="s">
        <v>1406</v>
      </c>
      <c r="R480" s="2">
        <v>1</v>
      </c>
      <c r="S480" s="9">
        <v>4000</v>
      </c>
      <c r="T480" s="10">
        <f t="shared" si="69"/>
        <v>2000</v>
      </c>
      <c r="U480" s="9">
        <v>0</v>
      </c>
      <c r="V480" s="10">
        <f t="shared" si="70"/>
        <v>2000</v>
      </c>
      <c r="W480" s="4" t="s">
        <v>122</v>
      </c>
      <c r="X480" s="2"/>
      <c r="Y480" s="11">
        <v>4</v>
      </c>
      <c r="Z480" s="12">
        <f t="shared" si="71"/>
        <v>0</v>
      </c>
      <c r="AA480" s="4" t="s">
        <v>120</v>
      </c>
      <c r="AC480" s="176">
        <f t="shared" si="67"/>
        <v>0</v>
      </c>
    </row>
    <row r="481" spans="2:30">
      <c r="B481" s="183">
        <f t="shared" si="72"/>
        <v>14</v>
      </c>
      <c r="C481" s="107" t="str">
        <f t="shared" si="73"/>
        <v>ATK</v>
      </c>
      <c r="D481" s="2" t="s">
        <v>1222</v>
      </c>
      <c r="E481" s="3">
        <v>43922</v>
      </c>
      <c r="F481" s="3">
        <v>43922</v>
      </c>
      <c r="G481" s="108">
        <f t="shared" si="74"/>
        <v>4</v>
      </c>
      <c r="H481" s="108" t="str">
        <f t="shared" si="75"/>
        <v>완료</v>
      </c>
      <c r="I481" s="112" t="s">
        <v>218</v>
      </c>
      <c r="J481" s="4" t="s">
        <v>115</v>
      </c>
      <c r="K481" s="5" t="s">
        <v>116</v>
      </c>
      <c r="L481" s="6" t="str">
        <f t="shared" si="68"/>
        <v>EE2</v>
      </c>
      <c r="M481" s="13" t="s">
        <v>256</v>
      </c>
      <c r="N481" s="7" t="s">
        <v>3506</v>
      </c>
      <c r="O481" s="13" t="s">
        <v>1407</v>
      </c>
      <c r="P481" s="115" t="s">
        <v>1408</v>
      </c>
      <c r="Q481" s="8"/>
      <c r="R481" s="2">
        <v>2</v>
      </c>
      <c r="S481" s="9">
        <v>500</v>
      </c>
      <c r="T481" s="10">
        <f t="shared" si="69"/>
        <v>500</v>
      </c>
      <c r="U481" s="9"/>
      <c r="V481" s="10">
        <f t="shared" si="70"/>
        <v>500</v>
      </c>
      <c r="W481" s="4" t="s">
        <v>122</v>
      </c>
      <c r="X481" s="2"/>
      <c r="Y481" s="11">
        <v>2</v>
      </c>
      <c r="Z481" s="12">
        <f t="shared" si="71"/>
        <v>0</v>
      </c>
      <c r="AA481" s="4" t="s">
        <v>259</v>
      </c>
      <c r="AC481" s="176">
        <f t="shared" si="67"/>
        <v>0</v>
      </c>
      <c r="AD481"/>
    </row>
    <row r="482" spans="2:30">
      <c r="B482" s="183">
        <f t="shared" si="72"/>
        <v>14</v>
      </c>
      <c r="C482" s="107" t="str">
        <f t="shared" si="73"/>
        <v>ATK</v>
      </c>
      <c r="D482" s="2" t="s">
        <v>1409</v>
      </c>
      <c r="E482" s="3">
        <v>43923</v>
      </c>
      <c r="F482" s="3">
        <v>43923</v>
      </c>
      <c r="G482" s="108">
        <f t="shared" si="74"/>
        <v>4</v>
      </c>
      <c r="H482" s="108" t="str">
        <f t="shared" si="75"/>
        <v>완료</v>
      </c>
      <c r="I482" s="112" t="s">
        <v>218</v>
      </c>
      <c r="J482" s="4" t="s">
        <v>115</v>
      </c>
      <c r="K482" s="5" t="s">
        <v>116</v>
      </c>
      <c r="L482" s="6" t="str">
        <f t="shared" si="68"/>
        <v>EE2</v>
      </c>
      <c r="M482" s="13" t="s">
        <v>946</v>
      </c>
      <c r="N482" s="7" t="s">
        <v>3611</v>
      </c>
      <c r="O482" s="13" t="s">
        <v>1320</v>
      </c>
      <c r="P482" s="115" t="s">
        <v>1321</v>
      </c>
      <c r="Q482" s="8"/>
      <c r="R482" s="2">
        <v>3</v>
      </c>
      <c r="S482" s="9">
        <v>7000</v>
      </c>
      <c r="T482" s="10">
        <f t="shared" si="69"/>
        <v>10500</v>
      </c>
      <c r="U482" s="9">
        <v>30</v>
      </c>
      <c r="V482" s="10">
        <f t="shared" si="70"/>
        <v>10470</v>
      </c>
      <c r="W482" s="4" t="s">
        <v>122</v>
      </c>
      <c r="X482" s="2"/>
      <c r="Y482" s="11">
        <v>5</v>
      </c>
      <c r="Z482" s="12">
        <f t="shared" si="71"/>
        <v>0</v>
      </c>
      <c r="AA482" s="4" t="s">
        <v>117</v>
      </c>
      <c r="AC482" s="176">
        <f t="shared" si="67"/>
        <v>2.7272727272727271E-2</v>
      </c>
      <c r="AD482"/>
    </row>
    <row r="483" spans="2:30">
      <c r="B483" s="183">
        <f t="shared" si="72"/>
        <v>14</v>
      </c>
      <c r="C483" s="107" t="str">
        <f t="shared" si="73"/>
        <v>ATK</v>
      </c>
      <c r="D483" s="2" t="s">
        <v>1410</v>
      </c>
      <c r="E483" s="3">
        <v>43923</v>
      </c>
      <c r="F483" s="3">
        <v>43923</v>
      </c>
      <c r="G483" s="108">
        <f t="shared" si="74"/>
        <v>4</v>
      </c>
      <c r="H483" s="108" t="str">
        <f t="shared" si="75"/>
        <v>완료</v>
      </c>
      <c r="I483" s="112" t="s">
        <v>218</v>
      </c>
      <c r="J483" s="4" t="s">
        <v>1411</v>
      </c>
      <c r="K483" s="5" t="s">
        <v>1412</v>
      </c>
      <c r="L483" s="6" t="str">
        <f t="shared" si="68"/>
        <v>EE1</v>
      </c>
      <c r="M483" s="13" t="s">
        <v>207</v>
      </c>
      <c r="N483" s="7" t="s">
        <v>3692</v>
      </c>
      <c r="O483" s="13" t="s">
        <v>1413</v>
      </c>
      <c r="P483" s="115" t="s">
        <v>1414</v>
      </c>
      <c r="Q483" s="8"/>
      <c r="R483" s="2">
        <v>1</v>
      </c>
      <c r="S483" s="9">
        <v>500</v>
      </c>
      <c r="T483" s="10">
        <f t="shared" si="69"/>
        <v>250</v>
      </c>
      <c r="U483" s="9"/>
      <c r="V483" s="10">
        <f t="shared" si="70"/>
        <v>250</v>
      </c>
      <c r="W483" s="4" t="s">
        <v>1415</v>
      </c>
      <c r="X483" s="2"/>
      <c r="Y483" s="11">
        <v>3</v>
      </c>
      <c r="Z483" s="12">
        <f t="shared" si="71"/>
        <v>0</v>
      </c>
      <c r="AA483" s="4" t="s">
        <v>1416</v>
      </c>
      <c r="AC483" s="176">
        <f t="shared" si="67"/>
        <v>0</v>
      </c>
      <c r="AD483"/>
    </row>
    <row r="484" spans="2:30">
      <c r="B484" s="183">
        <f t="shared" si="72"/>
        <v>14</v>
      </c>
      <c r="C484" s="107" t="str">
        <f t="shared" si="73"/>
        <v>ATK</v>
      </c>
      <c r="D484" s="2" t="s">
        <v>223</v>
      </c>
      <c r="E484" s="3">
        <v>43923</v>
      </c>
      <c r="F484" s="3">
        <v>43923</v>
      </c>
      <c r="G484" s="108">
        <f t="shared" si="74"/>
        <v>4</v>
      </c>
      <c r="H484" s="108" t="str">
        <f t="shared" si="75"/>
        <v>완료</v>
      </c>
      <c r="I484" s="112" t="s">
        <v>218</v>
      </c>
      <c r="J484" s="4" t="s">
        <v>121</v>
      </c>
      <c r="K484" s="5" t="s">
        <v>136</v>
      </c>
      <c r="L484" s="6" t="str">
        <f t="shared" si="68"/>
        <v>5T1</v>
      </c>
      <c r="M484" s="13" t="s">
        <v>1417</v>
      </c>
      <c r="N484" s="7" t="s">
        <v>3693</v>
      </c>
      <c r="O484" s="13" t="s">
        <v>1418</v>
      </c>
      <c r="P484" s="115" t="s">
        <v>1419</v>
      </c>
      <c r="Q484" s="8" t="s">
        <v>1420</v>
      </c>
      <c r="R484" s="2">
        <v>1</v>
      </c>
      <c r="S484" s="9">
        <v>400</v>
      </c>
      <c r="T484" s="10">
        <f t="shared" si="69"/>
        <v>200</v>
      </c>
      <c r="U484" s="9">
        <v>1</v>
      </c>
      <c r="V484" s="10">
        <f t="shared" si="70"/>
        <v>199</v>
      </c>
      <c r="W484" s="4" t="s">
        <v>122</v>
      </c>
      <c r="X484" s="2"/>
      <c r="Y484" s="11">
        <v>4</v>
      </c>
      <c r="Z484" s="12">
        <f t="shared" si="71"/>
        <v>0</v>
      </c>
      <c r="AA484" s="4" t="s">
        <v>120</v>
      </c>
      <c r="AC484" s="176">
        <f t="shared" si="67"/>
        <v>9.0909090909090909E-4</v>
      </c>
      <c r="AD484"/>
    </row>
    <row r="485" spans="2:30">
      <c r="B485" s="183">
        <f t="shared" si="72"/>
        <v>14</v>
      </c>
      <c r="C485" s="107" t="str">
        <f t="shared" si="73"/>
        <v>ATK</v>
      </c>
      <c r="D485" s="2" t="s">
        <v>846</v>
      </c>
      <c r="E485" s="3">
        <v>43923</v>
      </c>
      <c r="F485" s="3">
        <v>43923</v>
      </c>
      <c r="G485" s="108">
        <f t="shared" si="74"/>
        <v>4</v>
      </c>
      <c r="H485" s="108" t="str">
        <f t="shared" si="75"/>
        <v>완료</v>
      </c>
      <c r="I485" s="112" t="s">
        <v>218</v>
      </c>
      <c r="J485" s="4" t="s">
        <v>132</v>
      </c>
      <c r="K485" s="5" t="s">
        <v>848</v>
      </c>
      <c r="L485" s="6" t="str">
        <f t="shared" si="68"/>
        <v>3T5</v>
      </c>
      <c r="M485" s="13" t="s">
        <v>1806</v>
      </c>
      <c r="N485" s="7" t="s">
        <v>3607</v>
      </c>
      <c r="O485" s="13" t="s">
        <v>1422</v>
      </c>
      <c r="P485" s="115" t="s">
        <v>1423</v>
      </c>
      <c r="Q485" s="8"/>
      <c r="R485" s="2">
        <v>2</v>
      </c>
      <c r="S485" s="9">
        <v>500</v>
      </c>
      <c r="T485" s="10">
        <f t="shared" si="69"/>
        <v>500</v>
      </c>
      <c r="U485" s="9">
        <v>5</v>
      </c>
      <c r="V485" s="10">
        <f t="shared" si="70"/>
        <v>495</v>
      </c>
      <c r="W485" s="4" t="s">
        <v>122</v>
      </c>
      <c r="X485" s="2"/>
      <c r="Y485" s="11">
        <v>5</v>
      </c>
      <c r="Z485" s="12">
        <f t="shared" si="71"/>
        <v>0</v>
      </c>
      <c r="AA485" s="4" t="s">
        <v>212</v>
      </c>
      <c r="AC485" s="176">
        <f t="shared" si="67"/>
        <v>4.5454545454545452E-3</v>
      </c>
      <c r="AD485"/>
    </row>
    <row r="486" spans="2:30">
      <c r="B486" s="183">
        <f t="shared" si="72"/>
        <v>15</v>
      </c>
      <c r="C486" s="107" t="str">
        <f t="shared" si="73"/>
        <v>ATK</v>
      </c>
      <c r="D486" s="2" t="s">
        <v>455</v>
      </c>
      <c r="E486" s="3">
        <v>43923</v>
      </c>
      <c r="F486" s="3">
        <v>43931</v>
      </c>
      <c r="G486" s="108">
        <f t="shared" si="74"/>
        <v>4</v>
      </c>
      <c r="H486" s="108" t="str">
        <f t="shared" si="75"/>
        <v>완료</v>
      </c>
      <c r="I486" s="112" t="s">
        <v>218</v>
      </c>
      <c r="J486" s="4" t="s">
        <v>118</v>
      </c>
      <c r="K486" s="5" t="s">
        <v>137</v>
      </c>
      <c r="L486" s="6" t="str">
        <f t="shared" si="68"/>
        <v>2T2</v>
      </c>
      <c r="M486" s="13" t="s">
        <v>730</v>
      </c>
      <c r="N486" s="7" t="s">
        <v>3491</v>
      </c>
      <c r="O486" s="13" t="s">
        <v>1424</v>
      </c>
      <c r="P486" s="115"/>
      <c r="Q486" s="8"/>
      <c r="R486" s="2">
        <v>4</v>
      </c>
      <c r="S486" s="9">
        <v>5000</v>
      </c>
      <c r="T486" s="10">
        <f t="shared" si="69"/>
        <v>10000</v>
      </c>
      <c r="U486" s="9">
        <v>30</v>
      </c>
      <c r="V486" s="10">
        <f t="shared" si="70"/>
        <v>9970</v>
      </c>
      <c r="W486" s="4" t="s">
        <v>122</v>
      </c>
      <c r="X486" s="2"/>
      <c r="Y486" s="11">
        <v>4</v>
      </c>
      <c r="Z486" s="12">
        <f t="shared" si="71"/>
        <v>8</v>
      </c>
      <c r="AA486" s="4" t="s">
        <v>117</v>
      </c>
      <c r="AC486" s="176">
        <f t="shared" si="67"/>
        <v>2.7272727272727271E-2</v>
      </c>
      <c r="AD486"/>
    </row>
    <row r="487" spans="2:30">
      <c r="B487" s="183">
        <f t="shared" si="72"/>
        <v>14</v>
      </c>
      <c r="C487" s="107" t="str">
        <f t="shared" si="73"/>
        <v>ATK</v>
      </c>
      <c r="D487" s="2" t="s">
        <v>312</v>
      </c>
      <c r="E487" s="3">
        <v>43923</v>
      </c>
      <c r="F487" s="3">
        <v>43923</v>
      </c>
      <c r="G487" s="108">
        <f t="shared" si="74"/>
        <v>4</v>
      </c>
      <c r="H487" s="108" t="str">
        <f t="shared" si="75"/>
        <v>완료</v>
      </c>
      <c r="I487" s="112" t="s">
        <v>218</v>
      </c>
      <c r="J487" s="4" t="s">
        <v>481</v>
      </c>
      <c r="K487" s="5" t="s">
        <v>695</v>
      </c>
      <c r="L487" s="6" t="str">
        <f t="shared" si="68"/>
        <v>2T2</v>
      </c>
      <c r="M487" s="13" t="s">
        <v>256</v>
      </c>
      <c r="N487" s="7" t="s">
        <v>3610</v>
      </c>
      <c r="O487" s="13" t="s">
        <v>482</v>
      </c>
      <c r="P487" s="115" t="s">
        <v>1426</v>
      </c>
      <c r="Q487" s="8"/>
      <c r="R487" s="2">
        <v>1</v>
      </c>
      <c r="S487" s="9">
        <v>1500</v>
      </c>
      <c r="T487" s="10">
        <f t="shared" si="69"/>
        <v>750</v>
      </c>
      <c r="U487" s="9">
        <v>50</v>
      </c>
      <c r="V487" s="10">
        <f t="shared" si="70"/>
        <v>700</v>
      </c>
      <c r="W487" s="4" t="s">
        <v>249</v>
      </c>
      <c r="X487" s="2"/>
      <c r="Y487" s="11">
        <v>3</v>
      </c>
      <c r="Z487" s="12">
        <f t="shared" si="71"/>
        <v>0</v>
      </c>
      <c r="AA487" s="4" t="s">
        <v>174</v>
      </c>
      <c r="AC487" s="176">
        <f t="shared" si="67"/>
        <v>4.5454545454545456E-2</v>
      </c>
      <c r="AD487"/>
    </row>
    <row r="488" spans="2:30">
      <c r="B488" s="183">
        <f t="shared" si="72"/>
        <v>14</v>
      </c>
      <c r="C488" s="107" t="str">
        <f t="shared" si="73"/>
        <v>ATK</v>
      </c>
      <c r="D488" s="2" t="s">
        <v>1432</v>
      </c>
      <c r="E488" s="3">
        <v>43924</v>
      </c>
      <c r="F488" s="3">
        <v>43924</v>
      </c>
      <c r="G488" s="108">
        <f t="shared" si="74"/>
        <v>4</v>
      </c>
      <c r="H488" s="108" t="str">
        <f t="shared" si="75"/>
        <v>완료</v>
      </c>
      <c r="I488" s="112" t="s">
        <v>218</v>
      </c>
      <c r="J488" s="4" t="s">
        <v>132</v>
      </c>
      <c r="K488" s="5" t="s">
        <v>322</v>
      </c>
      <c r="L488" s="6" t="str">
        <f t="shared" si="68"/>
        <v>3T1</v>
      </c>
      <c r="M488" s="13" t="s">
        <v>699</v>
      </c>
      <c r="N488" s="7" t="s">
        <v>3694</v>
      </c>
      <c r="O488" s="13" t="s">
        <v>1433</v>
      </c>
      <c r="P488" s="115"/>
      <c r="Q488" s="8"/>
      <c r="R488" s="2">
        <v>1</v>
      </c>
      <c r="S488" s="9">
        <v>800</v>
      </c>
      <c r="T488" s="10">
        <f t="shared" si="69"/>
        <v>400</v>
      </c>
      <c r="U488" s="9">
        <v>1</v>
      </c>
      <c r="V488" s="10">
        <f t="shared" si="70"/>
        <v>399</v>
      </c>
      <c r="W488" s="4" t="s">
        <v>122</v>
      </c>
      <c r="X488" s="2"/>
      <c r="Y488" s="11">
        <v>2</v>
      </c>
      <c r="Z488" s="12">
        <f t="shared" si="71"/>
        <v>0</v>
      </c>
      <c r="AA488" s="4" t="s">
        <v>117</v>
      </c>
      <c r="AC488" s="176">
        <f t="shared" si="67"/>
        <v>9.0909090909090909E-4</v>
      </c>
      <c r="AD488"/>
    </row>
    <row r="489" spans="2:30">
      <c r="B489" s="183">
        <f t="shared" si="72"/>
        <v>14</v>
      </c>
      <c r="C489" s="107" t="str">
        <f t="shared" si="73"/>
        <v>ATK</v>
      </c>
      <c r="D489" s="2" t="s">
        <v>1434</v>
      </c>
      <c r="E489" s="3">
        <v>43923</v>
      </c>
      <c r="F489" s="3">
        <v>43924</v>
      </c>
      <c r="G489" s="108">
        <f t="shared" si="74"/>
        <v>4</v>
      </c>
      <c r="H489" s="108" t="str">
        <f t="shared" si="75"/>
        <v>완료</v>
      </c>
      <c r="I489" s="112" t="s">
        <v>218</v>
      </c>
      <c r="J489" s="4" t="s">
        <v>115</v>
      </c>
      <c r="K489" s="5" t="s">
        <v>116</v>
      </c>
      <c r="L489" s="6" t="str">
        <f t="shared" si="68"/>
        <v>EE2</v>
      </c>
      <c r="M489" s="13" t="s">
        <v>1435</v>
      </c>
      <c r="N489" s="7" t="s">
        <v>3695</v>
      </c>
      <c r="O489" s="13" t="s">
        <v>1436</v>
      </c>
      <c r="P489" s="115" t="s">
        <v>1437</v>
      </c>
      <c r="Q489" s="8"/>
      <c r="R489" s="2">
        <v>1</v>
      </c>
      <c r="S489" s="9">
        <v>1200</v>
      </c>
      <c r="T489" s="10">
        <f t="shared" si="69"/>
        <v>600</v>
      </c>
      <c r="U489" s="9"/>
      <c r="V489" s="10">
        <f t="shared" si="70"/>
        <v>600</v>
      </c>
      <c r="W489" s="4" t="s">
        <v>122</v>
      </c>
      <c r="X489" s="2"/>
      <c r="Y489" s="11">
        <v>3</v>
      </c>
      <c r="Z489" s="12">
        <f t="shared" si="71"/>
        <v>1</v>
      </c>
      <c r="AA489" s="4" t="s">
        <v>259</v>
      </c>
      <c r="AC489" s="176">
        <f t="shared" si="67"/>
        <v>0</v>
      </c>
      <c r="AD489"/>
    </row>
    <row r="490" spans="2:30">
      <c r="B490" s="183">
        <f t="shared" si="72"/>
        <v>24</v>
      </c>
      <c r="C490" s="107" t="str">
        <f t="shared" si="73"/>
        <v>ATK</v>
      </c>
      <c r="D490" s="2" t="s">
        <v>1439</v>
      </c>
      <c r="E490" s="3">
        <v>43923</v>
      </c>
      <c r="F490" s="3">
        <v>43994</v>
      </c>
      <c r="G490" s="108">
        <f t="shared" si="74"/>
        <v>6</v>
      </c>
      <c r="H490" s="108" t="str">
        <f t="shared" si="75"/>
        <v>완료</v>
      </c>
      <c r="I490" s="112" t="s">
        <v>218</v>
      </c>
      <c r="J490" s="4" t="s">
        <v>115</v>
      </c>
      <c r="K490" s="5" t="s">
        <v>138</v>
      </c>
      <c r="L490" s="6" t="str">
        <f t="shared" si="68"/>
        <v>EE1</v>
      </c>
      <c r="M490" s="13" t="s">
        <v>1246</v>
      </c>
      <c r="N490" s="7" t="s">
        <v>3696</v>
      </c>
      <c r="O490" s="13" t="s">
        <v>1440</v>
      </c>
      <c r="P490" s="115" t="s">
        <v>1438</v>
      </c>
      <c r="Q490" s="8"/>
      <c r="R490" s="2">
        <v>1</v>
      </c>
      <c r="S490" s="9">
        <v>1500</v>
      </c>
      <c r="T490" s="10">
        <f t="shared" si="69"/>
        <v>750</v>
      </c>
      <c r="U490" s="9">
        <v>15</v>
      </c>
      <c r="V490" s="10">
        <f t="shared" si="70"/>
        <v>735</v>
      </c>
      <c r="W490" s="4" t="s">
        <v>122</v>
      </c>
      <c r="X490" s="2"/>
      <c r="Y490" s="11">
        <v>3</v>
      </c>
      <c r="Z490" s="12">
        <f t="shared" si="71"/>
        <v>71</v>
      </c>
      <c r="AA490" s="4" t="s">
        <v>117</v>
      </c>
      <c r="AC490" s="176">
        <f t="shared" si="67"/>
        <v>1.3636363636363636E-2</v>
      </c>
      <c r="AD490"/>
    </row>
    <row r="491" spans="2:30">
      <c r="B491" s="183">
        <f t="shared" si="72"/>
        <v>15</v>
      </c>
      <c r="C491" s="107" t="str">
        <f t="shared" si="73"/>
        <v>ATK</v>
      </c>
      <c r="D491" s="2" t="s">
        <v>1441</v>
      </c>
      <c r="E491" s="3">
        <v>43924</v>
      </c>
      <c r="F491" s="3">
        <v>43927</v>
      </c>
      <c r="G491" s="108">
        <f t="shared" si="74"/>
        <v>4</v>
      </c>
      <c r="H491" s="108" t="str">
        <f t="shared" si="75"/>
        <v>완료</v>
      </c>
      <c r="I491" s="112" t="s">
        <v>218</v>
      </c>
      <c r="J491" s="4" t="s">
        <v>481</v>
      </c>
      <c r="K491" s="5" t="s">
        <v>1389</v>
      </c>
      <c r="L491" s="6" t="str">
        <f t="shared" si="68"/>
        <v>2T1</v>
      </c>
      <c r="M491" s="13" t="s">
        <v>226</v>
      </c>
      <c r="N491" s="7" t="s">
        <v>3697</v>
      </c>
      <c r="O491" s="13" t="s">
        <v>225</v>
      </c>
      <c r="P491" s="115" t="s">
        <v>1442</v>
      </c>
      <c r="Q491" s="8"/>
      <c r="R491" s="2">
        <v>1</v>
      </c>
      <c r="S491" s="9">
        <v>2500</v>
      </c>
      <c r="T491" s="10">
        <f t="shared" si="69"/>
        <v>1250</v>
      </c>
      <c r="U491" s="9">
        <v>5</v>
      </c>
      <c r="V491" s="10">
        <f t="shared" si="70"/>
        <v>1245</v>
      </c>
      <c r="W491" s="4" t="s">
        <v>122</v>
      </c>
      <c r="X491" s="2"/>
      <c r="Y491" s="11">
        <v>4</v>
      </c>
      <c r="Z491" s="12">
        <f t="shared" si="71"/>
        <v>3</v>
      </c>
      <c r="AA491" s="4" t="s">
        <v>27</v>
      </c>
      <c r="AC491" s="176">
        <f t="shared" si="67"/>
        <v>4.5454545454545452E-3</v>
      </c>
      <c r="AD491"/>
    </row>
    <row r="492" spans="2:30">
      <c r="B492" s="183">
        <f t="shared" si="72"/>
        <v>15</v>
      </c>
      <c r="C492" s="107" t="str">
        <f t="shared" si="73"/>
        <v>ATK</v>
      </c>
      <c r="D492" s="2" t="s">
        <v>312</v>
      </c>
      <c r="E492" s="3">
        <v>43924</v>
      </c>
      <c r="F492" s="3">
        <v>43927</v>
      </c>
      <c r="G492" s="108">
        <f t="shared" si="74"/>
        <v>4</v>
      </c>
      <c r="H492" s="108" t="str">
        <f t="shared" si="75"/>
        <v>완료</v>
      </c>
      <c r="I492" s="112" t="s">
        <v>218</v>
      </c>
      <c r="J492" s="4" t="s">
        <v>481</v>
      </c>
      <c r="K492" s="5" t="s">
        <v>1448</v>
      </c>
      <c r="L492" s="6" t="str">
        <f t="shared" si="68"/>
        <v>2T2</v>
      </c>
      <c r="M492" s="13" t="s">
        <v>256</v>
      </c>
      <c r="N492" s="7" t="s">
        <v>3594</v>
      </c>
      <c r="O492" s="13" t="s">
        <v>482</v>
      </c>
      <c r="P492" s="115" t="s">
        <v>1443</v>
      </c>
      <c r="Q492" s="8"/>
      <c r="R492" s="2">
        <v>1</v>
      </c>
      <c r="S492" s="9">
        <v>1600</v>
      </c>
      <c r="T492" s="10">
        <f t="shared" si="69"/>
        <v>800</v>
      </c>
      <c r="U492" s="9">
        <v>5</v>
      </c>
      <c r="V492" s="10">
        <f t="shared" si="70"/>
        <v>795</v>
      </c>
      <c r="W492" s="4" t="s">
        <v>122</v>
      </c>
      <c r="X492" s="2"/>
      <c r="Y492" s="11">
        <v>2</v>
      </c>
      <c r="Z492" s="12">
        <f t="shared" si="71"/>
        <v>3</v>
      </c>
      <c r="AA492" s="4" t="s">
        <v>27</v>
      </c>
      <c r="AC492" s="176">
        <f t="shared" si="67"/>
        <v>4.5454545454545452E-3</v>
      </c>
      <c r="AD492"/>
    </row>
    <row r="493" spans="2:30" ht="24">
      <c r="B493" s="183">
        <f t="shared" si="72"/>
        <v>14</v>
      </c>
      <c r="C493" s="107" t="str">
        <f t="shared" si="73"/>
        <v>ATK</v>
      </c>
      <c r="D493" s="2" t="s">
        <v>263</v>
      </c>
      <c r="E493" s="3">
        <v>43924</v>
      </c>
      <c r="F493" s="3">
        <v>43924</v>
      </c>
      <c r="G493" s="108">
        <f t="shared" si="74"/>
        <v>4</v>
      </c>
      <c r="H493" s="108" t="str">
        <f t="shared" si="75"/>
        <v>완료</v>
      </c>
      <c r="I493" s="112" t="s">
        <v>218</v>
      </c>
      <c r="J493" s="4" t="s">
        <v>132</v>
      </c>
      <c r="K493" s="5" t="s">
        <v>143</v>
      </c>
      <c r="L493" s="6" t="str">
        <f t="shared" si="68"/>
        <v>3T4</v>
      </c>
      <c r="M493" s="13" t="s">
        <v>1444</v>
      </c>
      <c r="N493" s="7" t="s">
        <v>3698</v>
      </c>
      <c r="O493" s="13" t="s">
        <v>1445</v>
      </c>
      <c r="P493" s="115" t="s">
        <v>1447</v>
      </c>
      <c r="Q493" s="8" t="s">
        <v>1446</v>
      </c>
      <c r="R493" s="2">
        <v>1</v>
      </c>
      <c r="S493" s="9">
        <v>22000</v>
      </c>
      <c r="T493" s="10">
        <f t="shared" si="69"/>
        <v>11000</v>
      </c>
      <c r="U493" s="9">
        <v>5</v>
      </c>
      <c r="V493" s="10">
        <f t="shared" si="70"/>
        <v>10995</v>
      </c>
      <c r="W493" s="4" t="s">
        <v>122</v>
      </c>
      <c r="X493" s="2"/>
      <c r="Y493" s="11">
        <v>8</v>
      </c>
      <c r="Z493" s="12">
        <f t="shared" si="71"/>
        <v>0</v>
      </c>
      <c r="AA493" s="4" t="s">
        <v>120</v>
      </c>
      <c r="AC493" s="176">
        <f t="shared" si="67"/>
        <v>4.5454545454545452E-3</v>
      </c>
      <c r="AD493"/>
    </row>
    <row r="494" spans="2:30">
      <c r="B494" s="183">
        <f t="shared" si="72"/>
        <v>15</v>
      </c>
      <c r="C494" s="107" t="str">
        <f t="shared" si="73"/>
        <v>ATK</v>
      </c>
      <c r="D494" s="2" t="s">
        <v>893</v>
      </c>
      <c r="E494" s="3">
        <v>43924</v>
      </c>
      <c r="F494" s="3">
        <v>43927</v>
      </c>
      <c r="G494" s="108">
        <f t="shared" si="74"/>
        <v>4</v>
      </c>
      <c r="H494" s="108" t="str">
        <f t="shared" si="75"/>
        <v>완료</v>
      </c>
      <c r="I494" s="112" t="s">
        <v>218</v>
      </c>
      <c r="J494" s="4" t="s">
        <v>481</v>
      </c>
      <c r="K494" s="5" t="s">
        <v>695</v>
      </c>
      <c r="L494" s="6" t="str">
        <f t="shared" si="68"/>
        <v>2T2</v>
      </c>
      <c r="M494" s="13" t="s">
        <v>256</v>
      </c>
      <c r="N494" s="7" t="s">
        <v>3621</v>
      </c>
      <c r="O494" s="13" t="s">
        <v>482</v>
      </c>
      <c r="P494" s="115" t="s">
        <v>1449</v>
      </c>
      <c r="Q494" s="8"/>
      <c r="R494" s="2">
        <v>1</v>
      </c>
      <c r="S494" s="9">
        <v>1500</v>
      </c>
      <c r="T494" s="10">
        <f t="shared" si="69"/>
        <v>750</v>
      </c>
      <c r="U494" s="9">
        <v>50</v>
      </c>
      <c r="V494" s="10">
        <f t="shared" si="70"/>
        <v>700</v>
      </c>
      <c r="W494" s="4" t="s">
        <v>249</v>
      </c>
      <c r="X494" s="2"/>
      <c r="Y494" s="11">
        <v>2</v>
      </c>
      <c r="Z494" s="12">
        <f t="shared" si="71"/>
        <v>3</v>
      </c>
      <c r="AA494" s="4" t="s">
        <v>174</v>
      </c>
      <c r="AC494" s="176">
        <f t="shared" si="67"/>
        <v>4.5454545454545456E-2</v>
      </c>
      <c r="AD494"/>
    </row>
    <row r="495" spans="2:30">
      <c r="B495" s="183">
        <f t="shared" si="72"/>
        <v>15</v>
      </c>
      <c r="C495" s="107" t="str">
        <f t="shared" si="73"/>
        <v>ATK</v>
      </c>
      <c r="D495" s="2" t="s">
        <v>512</v>
      </c>
      <c r="E495" s="3">
        <v>43924</v>
      </c>
      <c r="F495" s="3">
        <v>43927</v>
      </c>
      <c r="G495" s="108">
        <f t="shared" si="74"/>
        <v>4</v>
      </c>
      <c r="H495" s="108" t="str">
        <f t="shared" si="75"/>
        <v>완료</v>
      </c>
      <c r="I495" s="112" t="s">
        <v>218</v>
      </c>
      <c r="J495" s="4" t="s">
        <v>118</v>
      </c>
      <c r="K495" s="5" t="s">
        <v>137</v>
      </c>
      <c r="L495" s="6" t="str">
        <f t="shared" si="68"/>
        <v>2T2</v>
      </c>
      <c r="M495" s="13" t="s">
        <v>256</v>
      </c>
      <c r="N495" s="7" t="s">
        <v>3699</v>
      </c>
      <c r="O495" s="13" t="s">
        <v>1450</v>
      </c>
      <c r="P495" s="115" t="s">
        <v>1451</v>
      </c>
      <c r="Q495" s="8" t="s">
        <v>1452</v>
      </c>
      <c r="R495" s="2">
        <v>1</v>
      </c>
      <c r="S495" s="9">
        <v>3500</v>
      </c>
      <c r="T495" s="10">
        <f t="shared" si="69"/>
        <v>1750</v>
      </c>
      <c r="U495" s="9"/>
      <c r="V495" s="10">
        <f t="shared" si="70"/>
        <v>1750</v>
      </c>
      <c r="W495" s="4" t="s">
        <v>122</v>
      </c>
      <c r="X495" s="2"/>
      <c r="Y495" s="11">
        <v>4</v>
      </c>
      <c r="Z495" s="12">
        <f t="shared" si="71"/>
        <v>3</v>
      </c>
      <c r="AA495" s="4" t="s">
        <v>259</v>
      </c>
      <c r="AC495" s="176">
        <f t="shared" si="67"/>
        <v>0</v>
      </c>
      <c r="AD495"/>
    </row>
    <row r="496" spans="2:30">
      <c r="B496" s="183">
        <f t="shared" si="72"/>
        <v>15</v>
      </c>
      <c r="C496" s="107" t="str">
        <f t="shared" si="73"/>
        <v>ATK</v>
      </c>
      <c r="D496" s="2" t="s">
        <v>255</v>
      </c>
      <c r="E496" s="3">
        <v>43927</v>
      </c>
      <c r="F496" s="3">
        <v>43927</v>
      </c>
      <c r="G496" s="108">
        <f t="shared" si="74"/>
        <v>4</v>
      </c>
      <c r="H496" s="108" t="str">
        <f t="shared" si="75"/>
        <v>완료</v>
      </c>
      <c r="I496" s="112" t="s">
        <v>218</v>
      </c>
      <c r="J496" s="4" t="s">
        <v>808</v>
      </c>
      <c r="K496" s="5" t="s">
        <v>833</v>
      </c>
      <c r="L496" s="6" t="str">
        <f t="shared" si="68"/>
        <v>1T3</v>
      </c>
      <c r="M496" s="13" t="s">
        <v>256</v>
      </c>
      <c r="N496" s="7" t="s">
        <v>3529</v>
      </c>
      <c r="O496" s="13" t="s">
        <v>1402</v>
      </c>
      <c r="P496" s="115" t="s">
        <v>1453</v>
      </c>
      <c r="Q496" s="8"/>
      <c r="R496" s="2">
        <v>2</v>
      </c>
      <c r="S496" s="9">
        <v>3500</v>
      </c>
      <c r="T496" s="10">
        <f t="shared" si="69"/>
        <v>3500</v>
      </c>
      <c r="U496" s="9">
        <v>20</v>
      </c>
      <c r="V496" s="10">
        <f t="shared" si="70"/>
        <v>3480</v>
      </c>
      <c r="W496" s="4" t="s">
        <v>122</v>
      </c>
      <c r="X496" s="2"/>
      <c r="Y496" s="11">
        <v>2</v>
      </c>
      <c r="Z496" s="12">
        <f t="shared" si="71"/>
        <v>0</v>
      </c>
      <c r="AA496" s="4" t="s">
        <v>27</v>
      </c>
      <c r="AC496" s="176">
        <f t="shared" si="67"/>
        <v>1.8181818181818181E-2</v>
      </c>
      <c r="AD496"/>
    </row>
    <row r="497" spans="2:30">
      <c r="B497" s="183">
        <f t="shared" si="72"/>
        <v>15</v>
      </c>
      <c r="C497" s="107" t="str">
        <f t="shared" si="73"/>
        <v>ATK</v>
      </c>
      <c r="D497" s="2" t="s">
        <v>455</v>
      </c>
      <c r="E497" s="3">
        <v>43927</v>
      </c>
      <c r="F497" s="3">
        <v>43927</v>
      </c>
      <c r="G497" s="108">
        <f t="shared" si="74"/>
        <v>4</v>
      </c>
      <c r="H497" s="108" t="str">
        <f t="shared" si="75"/>
        <v>완료</v>
      </c>
      <c r="I497" s="112" t="s">
        <v>218</v>
      </c>
      <c r="J497" s="4" t="s">
        <v>118</v>
      </c>
      <c r="K497" s="5" t="s">
        <v>137</v>
      </c>
      <c r="L497" s="6" t="str">
        <f t="shared" si="68"/>
        <v>2T2</v>
      </c>
      <c r="M497" s="13" t="s">
        <v>730</v>
      </c>
      <c r="N497" s="7" t="s">
        <v>3491</v>
      </c>
      <c r="O497" s="13" t="s">
        <v>163</v>
      </c>
      <c r="P497" s="115" t="s">
        <v>1454</v>
      </c>
      <c r="Q497" s="8"/>
      <c r="R497" s="2">
        <v>1</v>
      </c>
      <c r="S497" s="9">
        <v>5000</v>
      </c>
      <c r="T497" s="10">
        <f t="shared" si="69"/>
        <v>2500</v>
      </c>
      <c r="U497" s="9">
        <v>50</v>
      </c>
      <c r="V497" s="10">
        <f t="shared" si="70"/>
        <v>2450</v>
      </c>
      <c r="W497" s="4" t="s">
        <v>122</v>
      </c>
      <c r="X497" s="2"/>
      <c r="Y497" s="11">
        <v>2</v>
      </c>
      <c r="Z497" s="12">
        <f t="shared" si="71"/>
        <v>0</v>
      </c>
      <c r="AA497" s="4" t="s">
        <v>27</v>
      </c>
      <c r="AC497" s="176">
        <f t="shared" si="67"/>
        <v>4.5454545454545456E-2</v>
      </c>
      <c r="AD497"/>
    </row>
    <row r="498" spans="2:30">
      <c r="B498" s="183">
        <f t="shared" si="72"/>
        <v>15</v>
      </c>
      <c r="C498" s="107" t="str">
        <f t="shared" si="73"/>
        <v>ATK</v>
      </c>
      <c r="D498" s="2" t="s">
        <v>1455</v>
      </c>
      <c r="E498" s="3">
        <v>43927</v>
      </c>
      <c r="F498" s="3">
        <v>43927</v>
      </c>
      <c r="G498" s="108">
        <f t="shared" si="74"/>
        <v>4</v>
      </c>
      <c r="H498" s="108" t="str">
        <f t="shared" si="75"/>
        <v>완료</v>
      </c>
      <c r="I498" s="112" t="s">
        <v>218</v>
      </c>
      <c r="J498" s="4" t="s">
        <v>118</v>
      </c>
      <c r="K498" s="5" t="s">
        <v>137</v>
      </c>
      <c r="L498" s="6" t="str">
        <f t="shared" si="68"/>
        <v>2T2</v>
      </c>
      <c r="M498" s="13" t="s">
        <v>730</v>
      </c>
      <c r="N498" s="7" t="s">
        <v>3700</v>
      </c>
      <c r="O498" s="13" t="s">
        <v>1456</v>
      </c>
      <c r="P498" s="115" t="s">
        <v>1457</v>
      </c>
      <c r="Q498" s="8"/>
      <c r="R498" s="2">
        <v>1</v>
      </c>
      <c r="S498" s="9">
        <v>1200</v>
      </c>
      <c r="T498" s="10">
        <f t="shared" si="69"/>
        <v>600</v>
      </c>
      <c r="U498" s="9">
        <v>10</v>
      </c>
      <c r="V498" s="10">
        <f t="shared" si="70"/>
        <v>590</v>
      </c>
      <c r="W498" s="4" t="s">
        <v>122</v>
      </c>
      <c r="X498" s="2"/>
      <c r="Y498" s="11">
        <v>3</v>
      </c>
      <c r="Z498" s="12">
        <f t="shared" si="71"/>
        <v>0</v>
      </c>
      <c r="AA498" s="4" t="s">
        <v>259</v>
      </c>
      <c r="AC498" s="176">
        <f t="shared" si="67"/>
        <v>9.0909090909090905E-3</v>
      </c>
      <c r="AD498"/>
    </row>
    <row r="499" spans="2:30">
      <c r="B499" s="183">
        <f t="shared" si="72"/>
        <v>15</v>
      </c>
      <c r="C499" s="107" t="str">
        <f t="shared" si="73"/>
        <v>ATK</v>
      </c>
      <c r="D499" s="2" t="s">
        <v>1458</v>
      </c>
      <c r="E499" s="3">
        <v>43927</v>
      </c>
      <c r="F499" s="3">
        <v>43927</v>
      </c>
      <c r="G499" s="108">
        <f t="shared" si="74"/>
        <v>4</v>
      </c>
      <c r="H499" s="108" t="str">
        <f t="shared" si="75"/>
        <v>완료</v>
      </c>
      <c r="I499" s="112" t="s">
        <v>218</v>
      </c>
      <c r="J499" s="4" t="s">
        <v>118</v>
      </c>
      <c r="K499" s="5" t="s">
        <v>134</v>
      </c>
      <c r="L499" s="6" t="str">
        <f t="shared" si="68"/>
        <v>2T1</v>
      </c>
      <c r="M499" s="13" t="s">
        <v>454</v>
      </c>
      <c r="N499" s="7"/>
      <c r="O499" s="13" t="s">
        <v>1459</v>
      </c>
      <c r="P499" s="115"/>
      <c r="Q499" s="8"/>
      <c r="R499" s="2">
        <v>1</v>
      </c>
      <c r="S499" s="9">
        <v>400</v>
      </c>
      <c r="T499" s="10">
        <f t="shared" si="69"/>
        <v>200</v>
      </c>
      <c r="U499" s="9">
        <v>2</v>
      </c>
      <c r="V499" s="10">
        <f t="shared" si="70"/>
        <v>198</v>
      </c>
      <c r="W499" s="4" t="s">
        <v>122</v>
      </c>
      <c r="X499" s="2"/>
      <c r="Y499" s="11">
        <v>1</v>
      </c>
      <c r="Z499" s="12">
        <f t="shared" si="71"/>
        <v>0</v>
      </c>
      <c r="AA499" s="4" t="s">
        <v>117</v>
      </c>
      <c r="AC499" s="176">
        <f t="shared" si="67"/>
        <v>1.8181818181818182E-3</v>
      </c>
      <c r="AD499"/>
    </row>
    <row r="500" spans="2:30">
      <c r="B500" s="183">
        <f t="shared" si="72"/>
        <v>14</v>
      </c>
      <c r="C500" s="107" t="str">
        <f t="shared" si="73"/>
        <v>ATK</v>
      </c>
      <c r="D500" s="2" t="s">
        <v>280</v>
      </c>
      <c r="E500" s="3">
        <v>43921</v>
      </c>
      <c r="F500" s="3">
        <v>43921</v>
      </c>
      <c r="G500" s="108">
        <f t="shared" si="74"/>
        <v>3</v>
      </c>
      <c r="H500" s="108" t="str">
        <f t="shared" si="75"/>
        <v>완료</v>
      </c>
      <c r="I500" s="112" t="s">
        <v>218</v>
      </c>
      <c r="J500" s="4" t="s">
        <v>115</v>
      </c>
      <c r="K500" s="5" t="s">
        <v>138</v>
      </c>
      <c r="L500" s="6" t="str">
        <f t="shared" si="68"/>
        <v>EE1</v>
      </c>
      <c r="M500" s="13" t="s">
        <v>1380</v>
      </c>
      <c r="N500" s="7" t="s">
        <v>3701</v>
      </c>
      <c r="O500" s="13" t="s">
        <v>1381</v>
      </c>
      <c r="P500" s="115" t="s">
        <v>1460</v>
      </c>
      <c r="Q500" s="8"/>
      <c r="R500" s="2">
        <v>1</v>
      </c>
      <c r="S500" s="9">
        <v>4000</v>
      </c>
      <c r="T500" s="10">
        <f t="shared" si="69"/>
        <v>2000</v>
      </c>
      <c r="U500" s="9">
        <v>0</v>
      </c>
      <c r="V500" s="10">
        <f t="shared" si="70"/>
        <v>2000</v>
      </c>
      <c r="W500" s="4" t="s">
        <v>122</v>
      </c>
      <c r="X500" s="2"/>
      <c r="Y500" s="11">
        <v>2</v>
      </c>
      <c r="Z500" s="12">
        <f t="shared" si="71"/>
        <v>0</v>
      </c>
      <c r="AA500" s="4" t="s">
        <v>212</v>
      </c>
      <c r="AC500" s="176">
        <f t="shared" si="67"/>
        <v>0</v>
      </c>
      <c r="AD500"/>
    </row>
    <row r="501" spans="2:30">
      <c r="B501" s="183">
        <f t="shared" si="72"/>
        <v>15</v>
      </c>
      <c r="C501" s="107" t="str">
        <f t="shared" si="73"/>
        <v>ATK</v>
      </c>
      <c r="D501" s="2" t="s">
        <v>1461</v>
      </c>
      <c r="E501" s="3">
        <v>43927</v>
      </c>
      <c r="F501" s="3">
        <v>43928</v>
      </c>
      <c r="G501" s="108">
        <f t="shared" si="74"/>
        <v>4</v>
      </c>
      <c r="H501" s="108" t="str">
        <f t="shared" si="75"/>
        <v>완료</v>
      </c>
      <c r="I501" s="112" t="s">
        <v>218</v>
      </c>
      <c r="J501" s="4" t="s">
        <v>1462</v>
      </c>
      <c r="K501" s="5" t="s">
        <v>833</v>
      </c>
      <c r="L501" s="6" t="str">
        <f t="shared" si="68"/>
        <v>1T3</v>
      </c>
      <c r="M501" s="13" t="s">
        <v>256</v>
      </c>
      <c r="N501" s="7" t="s">
        <v>3621</v>
      </c>
      <c r="O501" s="13" t="s">
        <v>482</v>
      </c>
      <c r="P501" s="115" t="s">
        <v>1463</v>
      </c>
      <c r="Q501" s="8"/>
      <c r="R501" s="2">
        <v>1</v>
      </c>
      <c r="S501" s="9">
        <v>1500</v>
      </c>
      <c r="T501" s="10">
        <f t="shared" si="69"/>
        <v>750</v>
      </c>
      <c r="U501" s="9">
        <v>50</v>
      </c>
      <c r="V501" s="10">
        <f t="shared" si="70"/>
        <v>700</v>
      </c>
      <c r="W501" s="4" t="s">
        <v>1464</v>
      </c>
      <c r="X501" s="2"/>
      <c r="Y501" s="11">
        <v>2</v>
      </c>
      <c r="Z501" s="12">
        <f t="shared" si="71"/>
        <v>1</v>
      </c>
      <c r="AA501" s="4" t="s">
        <v>1465</v>
      </c>
      <c r="AC501" s="176">
        <f t="shared" si="67"/>
        <v>4.5454545454545456E-2</v>
      </c>
      <c r="AD501"/>
    </row>
    <row r="502" spans="2:30">
      <c r="B502" s="183">
        <f t="shared" si="72"/>
        <v>15</v>
      </c>
      <c r="C502" s="107" t="str">
        <f t="shared" si="73"/>
        <v>ATK</v>
      </c>
      <c r="D502" s="2" t="s">
        <v>295</v>
      </c>
      <c r="E502" s="3">
        <v>43927</v>
      </c>
      <c r="F502" s="3">
        <v>43928</v>
      </c>
      <c r="G502" s="108">
        <f t="shared" si="74"/>
        <v>4</v>
      </c>
      <c r="H502" s="108" t="str">
        <f t="shared" si="75"/>
        <v>완료</v>
      </c>
      <c r="I502" s="112" t="s">
        <v>218</v>
      </c>
      <c r="J502" s="4" t="s">
        <v>265</v>
      </c>
      <c r="K502" s="5" t="s">
        <v>793</v>
      </c>
      <c r="L502" s="6" t="str">
        <f t="shared" si="68"/>
        <v>3T3</v>
      </c>
      <c r="M502" s="13" t="s">
        <v>207</v>
      </c>
      <c r="N502" s="7" t="s">
        <v>3702</v>
      </c>
      <c r="O502" s="13" t="s">
        <v>339</v>
      </c>
      <c r="P502" s="115" t="s">
        <v>208</v>
      </c>
      <c r="Q502" s="8"/>
      <c r="R502" s="2">
        <v>1</v>
      </c>
      <c r="S502" s="9">
        <v>1500</v>
      </c>
      <c r="T502" s="10">
        <f t="shared" si="69"/>
        <v>750</v>
      </c>
      <c r="U502" s="9">
        <v>25</v>
      </c>
      <c r="V502" s="10">
        <f t="shared" si="70"/>
        <v>725</v>
      </c>
      <c r="W502" s="4" t="s">
        <v>249</v>
      </c>
      <c r="X502" s="2"/>
      <c r="Y502" s="11">
        <v>3</v>
      </c>
      <c r="Z502" s="12">
        <f t="shared" si="71"/>
        <v>1</v>
      </c>
      <c r="AA502" s="4" t="s">
        <v>174</v>
      </c>
      <c r="AC502" s="176">
        <f t="shared" si="67"/>
        <v>2.2727272727272728E-2</v>
      </c>
      <c r="AD502"/>
    </row>
    <row r="503" spans="2:30">
      <c r="B503" s="183">
        <f t="shared" si="72"/>
        <v>15</v>
      </c>
      <c r="C503" s="107" t="str">
        <f t="shared" si="73"/>
        <v>ATK</v>
      </c>
      <c r="D503" s="2" t="s">
        <v>784</v>
      </c>
      <c r="E503" s="3">
        <v>43927</v>
      </c>
      <c r="F503" s="3">
        <v>43930</v>
      </c>
      <c r="G503" s="108">
        <f t="shared" si="74"/>
        <v>4</v>
      </c>
      <c r="H503" s="108" t="str">
        <f t="shared" si="75"/>
        <v>완료</v>
      </c>
      <c r="I503" s="112" t="s">
        <v>218</v>
      </c>
      <c r="J503" s="4" t="s">
        <v>265</v>
      </c>
      <c r="K503" s="5" t="s">
        <v>793</v>
      </c>
      <c r="L503" s="6" t="str">
        <f t="shared" si="68"/>
        <v>3T3</v>
      </c>
      <c r="M503" s="13" t="s">
        <v>207</v>
      </c>
      <c r="N503" s="7" t="s">
        <v>3703</v>
      </c>
      <c r="O503" s="13" t="s">
        <v>207</v>
      </c>
      <c r="P503" s="115" t="s">
        <v>1338</v>
      </c>
      <c r="Q503" s="8"/>
      <c r="R503" s="2">
        <v>1</v>
      </c>
      <c r="S503" s="9">
        <v>450</v>
      </c>
      <c r="T503" s="10">
        <f t="shared" si="69"/>
        <v>225</v>
      </c>
      <c r="U503" s="9">
        <v>50</v>
      </c>
      <c r="V503" s="10">
        <f t="shared" si="70"/>
        <v>175</v>
      </c>
      <c r="W503" s="4" t="s">
        <v>249</v>
      </c>
      <c r="X503" s="2"/>
      <c r="Y503" s="11">
        <v>3</v>
      </c>
      <c r="Z503" s="12">
        <f t="shared" si="71"/>
        <v>3</v>
      </c>
      <c r="AA503" s="4" t="s">
        <v>174</v>
      </c>
      <c r="AC503" s="176">
        <f t="shared" si="67"/>
        <v>4.5454545454545456E-2</v>
      </c>
      <c r="AD503"/>
    </row>
    <row r="504" spans="2:30">
      <c r="B504" s="183">
        <f t="shared" si="72"/>
        <v>15</v>
      </c>
      <c r="C504" s="107" t="str">
        <f t="shared" si="73"/>
        <v>ATK</v>
      </c>
      <c r="D504" s="2" t="s">
        <v>933</v>
      </c>
      <c r="E504" s="3">
        <v>43928</v>
      </c>
      <c r="F504" s="3">
        <v>43928</v>
      </c>
      <c r="G504" s="108">
        <f t="shared" si="74"/>
        <v>4</v>
      </c>
      <c r="H504" s="108" t="str">
        <f t="shared" si="75"/>
        <v>Other</v>
      </c>
      <c r="I504" s="112" t="s">
        <v>317</v>
      </c>
      <c r="J504" s="4" t="s">
        <v>115</v>
      </c>
      <c r="K504" s="5" t="s">
        <v>138</v>
      </c>
      <c r="L504" s="6" t="str">
        <f t="shared" si="68"/>
        <v>EE1</v>
      </c>
      <c r="M504" s="13" t="s">
        <v>1466</v>
      </c>
      <c r="N504" s="7" t="s">
        <v>3704</v>
      </c>
      <c r="O504" s="13" t="s">
        <v>1467</v>
      </c>
      <c r="P504" s="115" t="s">
        <v>1468</v>
      </c>
      <c r="Q504" s="8"/>
      <c r="R504" s="2">
        <v>1</v>
      </c>
      <c r="S504" s="9">
        <v>300</v>
      </c>
      <c r="T504" s="10">
        <f t="shared" si="69"/>
        <v>150</v>
      </c>
      <c r="U504" s="9">
        <v>0</v>
      </c>
      <c r="V504" s="10">
        <f t="shared" si="70"/>
        <v>150</v>
      </c>
      <c r="W504" s="4" t="s">
        <v>122</v>
      </c>
      <c r="X504" s="2"/>
      <c r="Y504" s="11">
        <v>2</v>
      </c>
      <c r="Z504" s="12">
        <f t="shared" si="71"/>
        <v>0</v>
      </c>
      <c r="AA504" s="4" t="s">
        <v>120</v>
      </c>
      <c r="AC504" s="176">
        <f t="shared" si="67"/>
        <v>0</v>
      </c>
      <c r="AD504"/>
    </row>
    <row r="505" spans="2:30">
      <c r="B505" s="183">
        <f t="shared" si="72"/>
        <v>15</v>
      </c>
      <c r="C505" s="107" t="str">
        <f t="shared" si="73"/>
        <v>ATK</v>
      </c>
      <c r="D505" s="2" t="s">
        <v>737</v>
      </c>
      <c r="E505" s="3">
        <v>43928</v>
      </c>
      <c r="F505" s="3">
        <v>43928</v>
      </c>
      <c r="G505" s="108">
        <f t="shared" si="74"/>
        <v>4</v>
      </c>
      <c r="H505" s="108" t="str">
        <f t="shared" si="75"/>
        <v>완료</v>
      </c>
      <c r="I505" s="112" t="s">
        <v>218</v>
      </c>
      <c r="J505" s="4" t="s">
        <v>748</v>
      </c>
      <c r="K505" s="5" t="s">
        <v>177</v>
      </c>
      <c r="L505" s="6" t="str">
        <f t="shared" si="68"/>
        <v>Bum</v>
      </c>
      <c r="M505" s="13" t="s">
        <v>234</v>
      </c>
      <c r="N505" s="7" t="s">
        <v>3705</v>
      </c>
      <c r="O505" s="13" t="s">
        <v>1469</v>
      </c>
      <c r="P505" s="115" t="s">
        <v>1470</v>
      </c>
      <c r="Q505" s="8"/>
      <c r="R505" s="2">
        <v>1</v>
      </c>
      <c r="S505" s="9">
        <v>200</v>
      </c>
      <c r="T505" s="10">
        <f t="shared" si="69"/>
        <v>100</v>
      </c>
      <c r="U505" s="9">
        <v>0</v>
      </c>
      <c r="V505" s="10">
        <f t="shared" si="70"/>
        <v>100</v>
      </c>
      <c r="W505" s="4" t="s">
        <v>122</v>
      </c>
      <c r="X505" s="2"/>
      <c r="Y505" s="11">
        <v>2</v>
      </c>
      <c r="Z505" s="12">
        <f t="shared" si="71"/>
        <v>0</v>
      </c>
      <c r="AA505" s="4" t="s">
        <v>120</v>
      </c>
      <c r="AC505" s="176">
        <f t="shared" si="67"/>
        <v>0</v>
      </c>
      <c r="AD505"/>
    </row>
    <row r="506" spans="2:30">
      <c r="B506" s="183">
        <f t="shared" si="72"/>
        <v>15</v>
      </c>
      <c r="C506" s="107" t="str">
        <f t="shared" si="73"/>
        <v>ATK</v>
      </c>
      <c r="D506" s="2" t="s">
        <v>455</v>
      </c>
      <c r="E506" s="3">
        <v>43927</v>
      </c>
      <c r="F506" s="3">
        <v>43928</v>
      </c>
      <c r="G506" s="108">
        <f t="shared" si="74"/>
        <v>4</v>
      </c>
      <c r="H506" s="108" t="str">
        <f t="shared" si="75"/>
        <v>완료</v>
      </c>
      <c r="I506" s="112" t="s">
        <v>218</v>
      </c>
      <c r="J506" s="4" t="s">
        <v>118</v>
      </c>
      <c r="K506" s="5" t="s">
        <v>137</v>
      </c>
      <c r="L506" s="6" t="str">
        <f t="shared" si="68"/>
        <v>2T2</v>
      </c>
      <c r="M506" s="13" t="s">
        <v>730</v>
      </c>
      <c r="N506" s="7" t="s">
        <v>3706</v>
      </c>
      <c r="O506" s="13" t="s">
        <v>1471</v>
      </c>
      <c r="P506" s="115" t="s">
        <v>208</v>
      </c>
      <c r="Q506" s="8"/>
      <c r="R506" s="2">
        <v>1</v>
      </c>
      <c r="S506" s="9">
        <v>1200</v>
      </c>
      <c r="T506" s="10">
        <f t="shared" si="69"/>
        <v>600</v>
      </c>
      <c r="U506" s="9">
        <v>10</v>
      </c>
      <c r="V506" s="10">
        <f t="shared" si="70"/>
        <v>590</v>
      </c>
      <c r="W506" s="4" t="s">
        <v>122</v>
      </c>
      <c r="X506" s="2"/>
      <c r="Y506" s="11">
        <v>5</v>
      </c>
      <c r="Z506" s="12">
        <f t="shared" si="71"/>
        <v>1</v>
      </c>
      <c r="AA506" s="4" t="s">
        <v>212</v>
      </c>
      <c r="AC506" s="176">
        <f t="shared" si="67"/>
        <v>9.0909090909090905E-3</v>
      </c>
      <c r="AD506"/>
    </row>
    <row r="507" spans="2:30">
      <c r="B507" s="183">
        <f t="shared" si="72"/>
        <v>15</v>
      </c>
      <c r="C507" s="107" t="str">
        <f t="shared" si="73"/>
        <v>ATK</v>
      </c>
      <c r="D507" s="2" t="s">
        <v>379</v>
      </c>
      <c r="E507" s="3">
        <v>43928</v>
      </c>
      <c r="F507" s="3">
        <v>43928</v>
      </c>
      <c r="G507" s="108">
        <f t="shared" si="74"/>
        <v>4</v>
      </c>
      <c r="H507" s="108" t="str">
        <f t="shared" si="75"/>
        <v>완료</v>
      </c>
      <c r="I507" s="112" t="s">
        <v>218</v>
      </c>
      <c r="J507" s="4" t="s">
        <v>132</v>
      </c>
      <c r="K507" s="5" t="s">
        <v>322</v>
      </c>
      <c r="L507" s="6" t="str">
        <f t="shared" si="68"/>
        <v>3T1</v>
      </c>
      <c r="M507" s="13" t="s">
        <v>946</v>
      </c>
      <c r="N507" s="7" t="s">
        <v>3670</v>
      </c>
      <c r="O507" s="13" t="s">
        <v>1002</v>
      </c>
      <c r="P507" s="115" t="s">
        <v>1472</v>
      </c>
      <c r="Q507" s="8"/>
      <c r="R507" s="2">
        <v>2</v>
      </c>
      <c r="S507" s="9">
        <v>700</v>
      </c>
      <c r="T507" s="10">
        <f t="shared" si="69"/>
        <v>700</v>
      </c>
      <c r="U507" s="9">
        <v>4</v>
      </c>
      <c r="V507" s="10">
        <f t="shared" si="70"/>
        <v>696</v>
      </c>
      <c r="W507" s="4" t="s">
        <v>122</v>
      </c>
      <c r="X507" s="2"/>
      <c r="Y507" s="11">
        <v>4</v>
      </c>
      <c r="Z507" s="12">
        <f t="shared" si="71"/>
        <v>0</v>
      </c>
      <c r="AA507" s="4" t="s">
        <v>117</v>
      </c>
      <c r="AC507" s="176">
        <f t="shared" si="67"/>
        <v>3.6363636363636364E-3</v>
      </c>
      <c r="AD507"/>
    </row>
    <row r="508" spans="2:30">
      <c r="B508" s="183">
        <f t="shared" si="72"/>
        <v>15</v>
      </c>
      <c r="C508" s="107" t="str">
        <f t="shared" si="73"/>
        <v>ATK</v>
      </c>
      <c r="D508" s="2" t="s">
        <v>933</v>
      </c>
      <c r="E508" s="3">
        <v>43929</v>
      </c>
      <c r="F508" s="3">
        <v>43929</v>
      </c>
      <c r="G508" s="108">
        <f t="shared" si="74"/>
        <v>4</v>
      </c>
      <c r="H508" s="108" t="str">
        <f t="shared" si="75"/>
        <v>완료</v>
      </c>
      <c r="I508" s="112" t="s">
        <v>218</v>
      </c>
      <c r="J508" s="4" t="s">
        <v>281</v>
      </c>
      <c r="K508" s="5" t="s">
        <v>282</v>
      </c>
      <c r="L508" s="6" t="str">
        <f t="shared" si="68"/>
        <v>EE1</v>
      </c>
      <c r="M508" s="13" t="s">
        <v>207</v>
      </c>
      <c r="N508" s="7" t="s">
        <v>3707</v>
      </c>
      <c r="O508" s="13" t="s">
        <v>207</v>
      </c>
      <c r="P508" s="115" t="s">
        <v>1473</v>
      </c>
      <c r="Q508" s="8"/>
      <c r="R508" s="2">
        <v>1</v>
      </c>
      <c r="S508" s="9">
        <v>500</v>
      </c>
      <c r="T508" s="10">
        <f t="shared" si="69"/>
        <v>250</v>
      </c>
      <c r="U508" s="9">
        <v>20</v>
      </c>
      <c r="V508" s="10">
        <f t="shared" si="70"/>
        <v>230</v>
      </c>
      <c r="W508" s="4" t="s">
        <v>249</v>
      </c>
      <c r="X508" s="2"/>
      <c r="Y508" s="11">
        <v>2</v>
      </c>
      <c r="Z508" s="12">
        <f t="shared" si="71"/>
        <v>0</v>
      </c>
      <c r="AA508" s="4" t="s">
        <v>174</v>
      </c>
      <c r="AC508" s="176">
        <f t="shared" ref="AC508:AC568" si="76">U508/1100</f>
        <v>1.8181818181818181E-2</v>
      </c>
      <c r="AD508"/>
    </row>
    <row r="509" spans="2:30">
      <c r="B509" s="183">
        <f t="shared" si="72"/>
        <v>27</v>
      </c>
      <c r="C509" s="107" t="str">
        <f t="shared" si="73"/>
        <v>ATK</v>
      </c>
      <c r="D509" s="2" t="s">
        <v>1222</v>
      </c>
      <c r="E509" s="3">
        <v>43928</v>
      </c>
      <c r="F509" s="3">
        <v>44012</v>
      </c>
      <c r="G509" s="108">
        <f t="shared" si="74"/>
        <v>6</v>
      </c>
      <c r="H509" s="108" t="str">
        <f t="shared" si="75"/>
        <v>완료</v>
      </c>
      <c r="I509" s="112" t="s">
        <v>514</v>
      </c>
      <c r="J509" s="4" t="s">
        <v>281</v>
      </c>
      <c r="K509" s="5" t="s">
        <v>332</v>
      </c>
      <c r="L509" s="6" t="str">
        <f t="shared" si="68"/>
        <v>EE2</v>
      </c>
      <c r="M509" s="13" t="s">
        <v>256</v>
      </c>
      <c r="N509" s="7" t="s">
        <v>3594</v>
      </c>
      <c r="O509" s="13" t="s">
        <v>1077</v>
      </c>
      <c r="P509" s="115" t="s">
        <v>1474</v>
      </c>
      <c r="Q509" s="8"/>
      <c r="R509" s="2">
        <v>1</v>
      </c>
      <c r="S509" s="9">
        <v>2500</v>
      </c>
      <c r="T509" s="10">
        <f t="shared" si="69"/>
        <v>1250</v>
      </c>
      <c r="U509" s="9">
        <v>650</v>
      </c>
      <c r="V509" s="10">
        <f t="shared" si="70"/>
        <v>600</v>
      </c>
      <c r="W509" s="4" t="s">
        <v>326</v>
      </c>
      <c r="X509" s="2" t="s">
        <v>34</v>
      </c>
      <c r="Y509" s="11">
        <v>8</v>
      </c>
      <c r="Z509" s="12">
        <f t="shared" si="71"/>
        <v>84</v>
      </c>
      <c r="AA509" s="4" t="s">
        <v>27</v>
      </c>
      <c r="AC509" s="176">
        <f t="shared" si="76"/>
        <v>0.59090909090909094</v>
      </c>
      <c r="AD509"/>
    </row>
    <row r="510" spans="2:30">
      <c r="B510" s="183">
        <f t="shared" si="72"/>
        <v>15</v>
      </c>
      <c r="C510" s="107" t="str">
        <f t="shared" si="73"/>
        <v>ATK</v>
      </c>
      <c r="D510" s="2" t="s">
        <v>307</v>
      </c>
      <c r="E510" s="3">
        <v>43929</v>
      </c>
      <c r="F510" s="3">
        <v>43929</v>
      </c>
      <c r="G510" s="108">
        <f t="shared" si="74"/>
        <v>4</v>
      </c>
      <c r="H510" s="108" t="str">
        <f t="shared" si="75"/>
        <v>완료</v>
      </c>
      <c r="I510" s="112" t="s">
        <v>218</v>
      </c>
      <c r="J510" s="4" t="s">
        <v>139</v>
      </c>
      <c r="K510" s="5" t="s">
        <v>128</v>
      </c>
      <c r="L510" s="6" t="str">
        <f t="shared" si="68"/>
        <v>1T1</v>
      </c>
      <c r="M510" s="13" t="s">
        <v>213</v>
      </c>
      <c r="N510" s="7" t="s">
        <v>3675</v>
      </c>
      <c r="O510" s="13" t="s">
        <v>1308</v>
      </c>
      <c r="P510" s="115" t="s">
        <v>1475</v>
      </c>
      <c r="Q510" s="8" t="s">
        <v>1476</v>
      </c>
      <c r="R510" s="2">
        <v>1</v>
      </c>
      <c r="S510" s="9">
        <v>4000</v>
      </c>
      <c r="T510" s="10">
        <f t="shared" si="69"/>
        <v>2000</v>
      </c>
      <c r="U510" s="9">
        <v>0</v>
      </c>
      <c r="V510" s="10">
        <f t="shared" si="70"/>
        <v>2000</v>
      </c>
      <c r="W510" s="4" t="s">
        <v>122</v>
      </c>
      <c r="X510" s="2"/>
      <c r="Y510" s="11">
        <v>4</v>
      </c>
      <c r="Z510" s="12">
        <f t="shared" si="71"/>
        <v>0</v>
      </c>
      <c r="AA510" s="4" t="s">
        <v>120</v>
      </c>
      <c r="AC510" s="176">
        <f t="shared" si="76"/>
        <v>0</v>
      </c>
      <c r="AD510"/>
    </row>
    <row r="511" spans="2:30">
      <c r="B511" s="183">
        <f t="shared" si="72"/>
        <v>15</v>
      </c>
      <c r="C511" s="107" t="str">
        <f t="shared" si="73"/>
        <v>ATK</v>
      </c>
      <c r="D511" s="2" t="s">
        <v>1477</v>
      </c>
      <c r="E511" s="3">
        <v>43929</v>
      </c>
      <c r="F511" s="3">
        <v>43929</v>
      </c>
      <c r="G511" s="108">
        <f t="shared" si="74"/>
        <v>4</v>
      </c>
      <c r="H511" s="108" t="str">
        <f t="shared" si="75"/>
        <v>완료</v>
      </c>
      <c r="I511" s="112" t="s">
        <v>218</v>
      </c>
      <c r="J511" s="4" t="s">
        <v>115</v>
      </c>
      <c r="K511" s="5" t="s">
        <v>116</v>
      </c>
      <c r="L511" s="6" t="str">
        <f t="shared" si="68"/>
        <v>EE2</v>
      </c>
      <c r="M511" s="13" t="s">
        <v>256</v>
      </c>
      <c r="N511" s="7" t="s">
        <v>3506</v>
      </c>
      <c r="O511" s="13" t="s">
        <v>1478</v>
      </c>
      <c r="P511" s="115" t="s">
        <v>1479</v>
      </c>
      <c r="Q511" s="8"/>
      <c r="R511" s="2">
        <v>1</v>
      </c>
      <c r="S511" s="9">
        <v>3500</v>
      </c>
      <c r="T511" s="10">
        <f t="shared" si="69"/>
        <v>1750</v>
      </c>
      <c r="U511" s="9"/>
      <c r="V511" s="10">
        <f t="shared" si="70"/>
        <v>1750</v>
      </c>
      <c r="W511" s="4" t="s">
        <v>122</v>
      </c>
      <c r="X511" s="2"/>
      <c r="Y511" s="11">
        <v>7</v>
      </c>
      <c r="Z511" s="12">
        <f t="shared" si="71"/>
        <v>0</v>
      </c>
      <c r="AA511" s="4" t="s">
        <v>259</v>
      </c>
      <c r="AC511" s="176">
        <f t="shared" si="76"/>
        <v>0</v>
      </c>
      <c r="AD511"/>
    </row>
    <row r="512" spans="2:30">
      <c r="B512" s="183">
        <f t="shared" si="72"/>
        <v>15</v>
      </c>
      <c r="C512" s="107" t="str">
        <f t="shared" si="73"/>
        <v>ATK</v>
      </c>
      <c r="D512" s="2" t="s">
        <v>784</v>
      </c>
      <c r="E512" s="3">
        <v>43927</v>
      </c>
      <c r="F512" s="3">
        <v>43931</v>
      </c>
      <c r="G512" s="108">
        <f t="shared" si="74"/>
        <v>4</v>
      </c>
      <c r="H512" s="108" t="str">
        <f t="shared" si="75"/>
        <v>완료</v>
      </c>
      <c r="I512" s="112" t="s">
        <v>218</v>
      </c>
      <c r="J512" s="4" t="s">
        <v>265</v>
      </c>
      <c r="K512" s="5" t="s">
        <v>793</v>
      </c>
      <c r="L512" s="6" t="str">
        <f t="shared" si="68"/>
        <v>3T3</v>
      </c>
      <c r="M512" s="13" t="s">
        <v>207</v>
      </c>
      <c r="N512" s="7" t="s">
        <v>3708</v>
      </c>
      <c r="O512" s="13" t="s">
        <v>207</v>
      </c>
      <c r="P512" s="115" t="s">
        <v>1338</v>
      </c>
      <c r="Q512" s="8"/>
      <c r="R512" s="2">
        <v>1</v>
      </c>
      <c r="S512" s="9">
        <v>450</v>
      </c>
      <c r="T512" s="10">
        <f t="shared" ref="T512:T572" si="77">(S512*50)/100*R512</f>
        <v>225</v>
      </c>
      <c r="U512" s="9">
        <v>30</v>
      </c>
      <c r="V512" s="10">
        <f t="shared" ref="V512:V572" si="78">T512-U512</f>
        <v>195</v>
      </c>
      <c r="W512" s="4" t="s">
        <v>249</v>
      </c>
      <c r="X512" s="2"/>
      <c r="Y512" s="11">
        <v>3</v>
      </c>
      <c r="Z512" s="12">
        <f t="shared" si="71"/>
        <v>4</v>
      </c>
      <c r="AA512" s="4" t="s">
        <v>174</v>
      </c>
      <c r="AC512" s="176">
        <f t="shared" si="76"/>
        <v>2.7272727272727271E-2</v>
      </c>
      <c r="AD512"/>
    </row>
    <row r="513" spans="2:30">
      <c r="B513" s="183">
        <f t="shared" si="72"/>
        <v>15</v>
      </c>
      <c r="C513" s="107" t="str">
        <f t="shared" si="73"/>
        <v>ATK</v>
      </c>
      <c r="D513" s="2" t="s">
        <v>255</v>
      </c>
      <c r="E513" s="3">
        <v>43928</v>
      </c>
      <c r="F513" s="3">
        <v>43931</v>
      </c>
      <c r="G513" s="108">
        <f t="shared" si="74"/>
        <v>4</v>
      </c>
      <c r="H513" s="108" t="str">
        <f t="shared" si="75"/>
        <v>완료</v>
      </c>
      <c r="I513" s="112" t="s">
        <v>218</v>
      </c>
      <c r="J513" s="4" t="s">
        <v>808</v>
      </c>
      <c r="K513" s="5" t="s">
        <v>833</v>
      </c>
      <c r="L513" s="6" t="str">
        <f t="shared" si="68"/>
        <v>1T3</v>
      </c>
      <c r="M513" s="13" t="s">
        <v>256</v>
      </c>
      <c r="N513" s="7" t="s">
        <v>3529</v>
      </c>
      <c r="O513" s="13" t="s">
        <v>1480</v>
      </c>
      <c r="P513" s="115" t="s">
        <v>1481</v>
      </c>
      <c r="Q513" s="8"/>
      <c r="R513" s="2">
        <v>1</v>
      </c>
      <c r="S513" s="9">
        <v>600</v>
      </c>
      <c r="T513" s="10">
        <f t="shared" si="77"/>
        <v>300</v>
      </c>
      <c r="U513" s="9">
        <v>5</v>
      </c>
      <c r="V513" s="10">
        <f t="shared" si="78"/>
        <v>295</v>
      </c>
      <c r="W513" s="4" t="s">
        <v>249</v>
      </c>
      <c r="X513" s="2"/>
      <c r="Y513" s="11">
        <v>3</v>
      </c>
      <c r="Z513" s="12">
        <f t="shared" si="71"/>
        <v>3</v>
      </c>
      <c r="AA513" s="4" t="s">
        <v>27</v>
      </c>
      <c r="AC513" s="176">
        <f t="shared" si="76"/>
        <v>4.5454545454545452E-3</v>
      </c>
      <c r="AD513"/>
    </row>
    <row r="514" spans="2:30">
      <c r="B514" s="183">
        <f t="shared" si="72"/>
        <v>15</v>
      </c>
      <c r="C514" s="107" t="str">
        <f t="shared" si="73"/>
        <v>ATK</v>
      </c>
      <c r="D514" s="2" t="s">
        <v>455</v>
      </c>
      <c r="E514" s="3">
        <v>43917</v>
      </c>
      <c r="F514" s="3">
        <v>43930</v>
      </c>
      <c r="G514" s="108">
        <f t="shared" si="74"/>
        <v>4</v>
      </c>
      <c r="H514" s="108" t="str">
        <f t="shared" si="75"/>
        <v>완료</v>
      </c>
      <c r="I514" s="112" t="s">
        <v>218</v>
      </c>
      <c r="J514" s="4" t="s">
        <v>118</v>
      </c>
      <c r="K514" s="5" t="s">
        <v>119</v>
      </c>
      <c r="L514" s="6" t="str">
        <f t="shared" ref="L514:L577" si="79">LEFT(K514,3)</f>
        <v>2T3</v>
      </c>
      <c r="M514" s="13" t="s">
        <v>730</v>
      </c>
      <c r="N514" s="7" t="s">
        <v>3491</v>
      </c>
      <c r="O514" s="13" t="s">
        <v>1482</v>
      </c>
      <c r="P514" s="115"/>
      <c r="Q514" s="8"/>
      <c r="R514" s="2">
        <v>3</v>
      </c>
      <c r="S514" s="9">
        <v>5000</v>
      </c>
      <c r="T514" s="10">
        <f t="shared" si="77"/>
        <v>7500</v>
      </c>
      <c r="U514" s="9">
        <v>30</v>
      </c>
      <c r="V514" s="10">
        <f t="shared" si="78"/>
        <v>7470</v>
      </c>
      <c r="W514" s="4" t="s">
        <v>122</v>
      </c>
      <c r="X514" s="2"/>
      <c r="Y514" s="11">
        <v>6</v>
      </c>
      <c r="Z514" s="12">
        <f t="shared" ref="Z514:Z577" si="80">F514-E514</f>
        <v>13</v>
      </c>
      <c r="AA514" s="4" t="s">
        <v>117</v>
      </c>
      <c r="AC514" s="176">
        <f t="shared" si="76"/>
        <v>2.7272727272727271E-2</v>
      </c>
      <c r="AD514"/>
    </row>
    <row r="515" spans="2:30">
      <c r="B515" s="183">
        <f t="shared" ref="B515:B578" si="81">IF(F515&gt;0,IFERROR(WEEKNUM(F515),""),"")</f>
        <v>15</v>
      </c>
      <c r="C515" s="107" t="str">
        <f t="shared" ref="C515:C578" si="82">IF(D515=0,"",(IF(LEFT(D515,3)="ATK","ATK",IF(LEFT(D515,2)="AT",D515,"ATK"))))</f>
        <v>ATK</v>
      </c>
      <c r="D515" s="2" t="s">
        <v>455</v>
      </c>
      <c r="E515" s="3">
        <v>43917</v>
      </c>
      <c r="F515" s="3">
        <v>43930</v>
      </c>
      <c r="G515" s="108">
        <f t="shared" ref="G515:G578" si="83">IF(F515&gt;0,MONTH(F515),"")</f>
        <v>4</v>
      </c>
      <c r="H515" s="108" t="str">
        <f t="shared" ref="H515:H578" si="84">IF(I515=0,"",IF(RIGHT(I515,2)="완료","완료",IF(RIGHT(I515,2)="불가","수리불가",IF(RIGHT(I515,1)="중","수리중","Other"))))</f>
        <v>완료</v>
      </c>
      <c r="I515" s="112" t="s">
        <v>218</v>
      </c>
      <c r="J515" s="4" t="s">
        <v>118</v>
      </c>
      <c r="K515" s="5" t="s">
        <v>119</v>
      </c>
      <c r="L515" s="6" t="str">
        <f t="shared" si="79"/>
        <v>2T3</v>
      </c>
      <c r="M515" s="13" t="s">
        <v>730</v>
      </c>
      <c r="N515" s="7" t="s">
        <v>3491</v>
      </c>
      <c r="O515" s="13" t="s">
        <v>1483</v>
      </c>
      <c r="P515" s="115"/>
      <c r="Q515" s="8"/>
      <c r="R515" s="2">
        <v>1</v>
      </c>
      <c r="S515" s="9">
        <v>5000</v>
      </c>
      <c r="T515" s="10">
        <f t="shared" si="77"/>
        <v>2500</v>
      </c>
      <c r="U515" s="9">
        <v>5</v>
      </c>
      <c r="V515" s="10">
        <f t="shared" si="78"/>
        <v>2495</v>
      </c>
      <c r="W515" s="4" t="s">
        <v>122</v>
      </c>
      <c r="X515" s="2"/>
      <c r="Y515" s="11">
        <v>6</v>
      </c>
      <c r="Z515" s="12">
        <f t="shared" si="80"/>
        <v>13</v>
      </c>
      <c r="AA515" s="4" t="s">
        <v>117</v>
      </c>
      <c r="AC515" s="176">
        <f t="shared" si="76"/>
        <v>4.5454545454545452E-3</v>
      </c>
      <c r="AD515"/>
    </row>
    <row r="516" spans="2:30">
      <c r="B516" s="183">
        <f t="shared" si="81"/>
        <v>15</v>
      </c>
      <c r="C516" s="107" t="str">
        <f t="shared" si="82"/>
        <v>ATK</v>
      </c>
      <c r="D516" s="2" t="s">
        <v>1484</v>
      </c>
      <c r="E516" s="3">
        <v>43930</v>
      </c>
      <c r="F516" s="3">
        <v>43930</v>
      </c>
      <c r="G516" s="108">
        <f t="shared" si="83"/>
        <v>4</v>
      </c>
      <c r="H516" s="108" t="str">
        <f t="shared" si="84"/>
        <v>완료</v>
      </c>
      <c r="I516" s="112" t="s">
        <v>218</v>
      </c>
      <c r="J516" s="4" t="s">
        <v>139</v>
      </c>
      <c r="K516" s="5" t="s">
        <v>177</v>
      </c>
      <c r="L516" s="6" t="str">
        <f t="shared" si="79"/>
        <v>Bum</v>
      </c>
      <c r="M516" s="13" t="s">
        <v>233</v>
      </c>
      <c r="N516" s="7" t="s">
        <v>3709</v>
      </c>
      <c r="O516" s="13" t="s">
        <v>1485</v>
      </c>
      <c r="P516" s="115" t="s">
        <v>1486</v>
      </c>
      <c r="Q516" s="8" t="s">
        <v>1487</v>
      </c>
      <c r="R516" s="2">
        <v>1</v>
      </c>
      <c r="S516" s="9">
        <v>12000</v>
      </c>
      <c r="T516" s="10">
        <f t="shared" si="77"/>
        <v>6000</v>
      </c>
      <c r="U516" s="9">
        <v>0</v>
      </c>
      <c r="V516" s="10">
        <f t="shared" si="78"/>
        <v>6000</v>
      </c>
      <c r="W516" s="4" t="s">
        <v>122</v>
      </c>
      <c r="X516" s="2"/>
      <c r="Y516" s="11">
        <v>4</v>
      </c>
      <c r="Z516" s="12">
        <f t="shared" si="80"/>
        <v>0</v>
      </c>
      <c r="AA516" s="4" t="s">
        <v>120</v>
      </c>
      <c r="AC516" s="176">
        <f t="shared" si="76"/>
        <v>0</v>
      </c>
      <c r="AD516"/>
    </row>
    <row r="517" spans="2:30">
      <c r="B517" s="183">
        <f t="shared" si="81"/>
        <v>15</v>
      </c>
      <c r="C517" s="107" t="str">
        <f t="shared" si="82"/>
        <v>ATK</v>
      </c>
      <c r="D517" s="2" t="s">
        <v>272</v>
      </c>
      <c r="E517" s="3">
        <v>43930</v>
      </c>
      <c r="F517" s="3">
        <v>43930</v>
      </c>
      <c r="G517" s="108">
        <f t="shared" si="83"/>
        <v>4</v>
      </c>
      <c r="H517" s="108" t="str">
        <f t="shared" si="84"/>
        <v>완료</v>
      </c>
      <c r="I517" s="112" t="s">
        <v>218</v>
      </c>
      <c r="J517" s="4"/>
      <c r="K517" s="5" t="s">
        <v>336</v>
      </c>
      <c r="L517" s="6" t="str">
        <f t="shared" si="79"/>
        <v>PM</v>
      </c>
      <c r="M517" s="13" t="s">
        <v>1488</v>
      </c>
      <c r="N517" s="7" t="s">
        <v>3616</v>
      </c>
      <c r="O517" s="13" t="s">
        <v>1227</v>
      </c>
      <c r="P517" s="115" t="s">
        <v>544</v>
      </c>
      <c r="Q517" s="8" t="s">
        <v>878</v>
      </c>
      <c r="R517" s="2">
        <v>1</v>
      </c>
      <c r="S517" s="9">
        <v>400</v>
      </c>
      <c r="T517" s="10">
        <f t="shared" si="77"/>
        <v>200</v>
      </c>
      <c r="U517" s="9">
        <v>3</v>
      </c>
      <c r="V517" s="10">
        <f t="shared" si="78"/>
        <v>197</v>
      </c>
      <c r="W517" s="4" t="s">
        <v>122</v>
      </c>
      <c r="X517" s="2"/>
      <c r="Y517" s="11">
        <v>4</v>
      </c>
      <c r="Z517" s="12">
        <f t="shared" si="80"/>
        <v>0</v>
      </c>
      <c r="AA517" s="4" t="s">
        <v>120</v>
      </c>
      <c r="AC517" s="176">
        <f t="shared" si="76"/>
        <v>2.7272727272727275E-3</v>
      </c>
      <c r="AD517"/>
    </row>
    <row r="518" spans="2:30">
      <c r="B518" s="183">
        <f t="shared" si="81"/>
        <v>15</v>
      </c>
      <c r="C518" s="107" t="str">
        <f t="shared" si="82"/>
        <v>ATK</v>
      </c>
      <c r="D518" s="2" t="s">
        <v>1489</v>
      </c>
      <c r="E518" s="3">
        <v>43930</v>
      </c>
      <c r="F518" s="3">
        <v>43930</v>
      </c>
      <c r="G518" s="108">
        <f t="shared" si="83"/>
        <v>4</v>
      </c>
      <c r="H518" s="108" t="str">
        <f t="shared" si="84"/>
        <v>완료</v>
      </c>
      <c r="I518" s="112" t="s">
        <v>218</v>
      </c>
      <c r="J518" s="4" t="s">
        <v>115</v>
      </c>
      <c r="K518" s="5" t="s">
        <v>116</v>
      </c>
      <c r="L518" s="6" t="str">
        <f t="shared" si="79"/>
        <v>EE2</v>
      </c>
      <c r="M518" s="13" t="s">
        <v>1490</v>
      </c>
      <c r="N518" s="7"/>
      <c r="O518" s="13" t="s">
        <v>1440</v>
      </c>
      <c r="P518" s="115" t="s">
        <v>1491</v>
      </c>
      <c r="Q518" s="8"/>
      <c r="R518" s="2">
        <v>2</v>
      </c>
      <c r="S518" s="9">
        <v>300</v>
      </c>
      <c r="T518" s="10">
        <f t="shared" si="77"/>
        <v>300</v>
      </c>
      <c r="U518" s="9"/>
      <c r="V518" s="10">
        <f t="shared" si="78"/>
        <v>300</v>
      </c>
      <c r="W518" s="4" t="s">
        <v>122</v>
      </c>
      <c r="X518" s="2"/>
      <c r="Y518" s="11">
        <v>4</v>
      </c>
      <c r="Z518" s="12">
        <f t="shared" si="80"/>
        <v>0</v>
      </c>
      <c r="AA518" s="4" t="s">
        <v>259</v>
      </c>
      <c r="AC518" s="176">
        <f t="shared" si="76"/>
        <v>0</v>
      </c>
      <c r="AD518"/>
    </row>
    <row r="519" spans="2:30">
      <c r="B519" s="183">
        <f t="shared" si="81"/>
        <v>15</v>
      </c>
      <c r="C519" s="107" t="str">
        <f t="shared" si="82"/>
        <v>ATK</v>
      </c>
      <c r="D519" s="2" t="s">
        <v>1492</v>
      </c>
      <c r="E519" s="3">
        <v>43930</v>
      </c>
      <c r="F519" s="3">
        <v>43931</v>
      </c>
      <c r="G519" s="108">
        <f t="shared" si="83"/>
        <v>4</v>
      </c>
      <c r="H519" s="108" t="str">
        <f t="shared" si="84"/>
        <v>완료</v>
      </c>
      <c r="I519" s="112" t="s">
        <v>218</v>
      </c>
      <c r="J519" s="4" t="s">
        <v>132</v>
      </c>
      <c r="K519" s="5" t="s">
        <v>322</v>
      </c>
      <c r="L519" s="6" t="str">
        <f t="shared" si="79"/>
        <v>3T1</v>
      </c>
      <c r="M519" s="13" t="s">
        <v>1493</v>
      </c>
      <c r="N519" s="13" t="s">
        <v>3563</v>
      </c>
      <c r="O519" s="7" t="s">
        <v>1494</v>
      </c>
      <c r="P519" s="115" t="s">
        <v>1495</v>
      </c>
      <c r="Q519" s="8"/>
      <c r="R519" s="2">
        <v>1</v>
      </c>
      <c r="S519" s="9">
        <v>3000</v>
      </c>
      <c r="T519" s="10">
        <f t="shared" si="77"/>
        <v>1500</v>
      </c>
      <c r="U519" s="9">
        <v>0</v>
      </c>
      <c r="V519" s="10">
        <f t="shared" si="78"/>
        <v>1500</v>
      </c>
      <c r="W519" s="4" t="s">
        <v>122</v>
      </c>
      <c r="X519" s="2"/>
      <c r="Y519" s="11">
        <v>2</v>
      </c>
      <c r="Z519" s="12">
        <f t="shared" si="80"/>
        <v>1</v>
      </c>
      <c r="AA519" s="4" t="s">
        <v>1496</v>
      </c>
      <c r="AC519" s="176">
        <f t="shared" si="76"/>
        <v>0</v>
      </c>
      <c r="AD519"/>
    </row>
    <row r="520" spans="2:30">
      <c r="B520" s="183">
        <f t="shared" si="81"/>
        <v>15</v>
      </c>
      <c r="C520" s="107" t="str">
        <f t="shared" si="82"/>
        <v>ATK</v>
      </c>
      <c r="D520" s="2" t="s">
        <v>1497</v>
      </c>
      <c r="E520" s="3">
        <v>43931</v>
      </c>
      <c r="F520" s="3">
        <v>43931</v>
      </c>
      <c r="G520" s="108">
        <f t="shared" si="83"/>
        <v>4</v>
      </c>
      <c r="H520" s="108" t="str">
        <f t="shared" si="84"/>
        <v>완료</v>
      </c>
      <c r="I520" s="112" t="s">
        <v>218</v>
      </c>
      <c r="J520" s="4" t="s">
        <v>115</v>
      </c>
      <c r="K520" s="5" t="s">
        <v>116</v>
      </c>
      <c r="L520" s="6" t="str">
        <f t="shared" si="79"/>
        <v>EE2</v>
      </c>
      <c r="M520" s="13" t="s">
        <v>256</v>
      </c>
      <c r="N520" s="7" t="s">
        <v>3506</v>
      </c>
      <c r="O520" s="13" t="s">
        <v>1498</v>
      </c>
      <c r="P520" s="115" t="s">
        <v>1499</v>
      </c>
      <c r="Q520" s="8"/>
      <c r="R520" s="2">
        <v>1</v>
      </c>
      <c r="S520" s="9">
        <v>400</v>
      </c>
      <c r="T520" s="10">
        <f t="shared" si="77"/>
        <v>200</v>
      </c>
      <c r="U520" s="9"/>
      <c r="V520" s="10">
        <f t="shared" si="78"/>
        <v>200</v>
      </c>
      <c r="W520" s="4" t="s">
        <v>122</v>
      </c>
      <c r="X520" s="2"/>
      <c r="Y520" s="11">
        <v>3</v>
      </c>
      <c r="Z520" s="12">
        <f t="shared" si="80"/>
        <v>0</v>
      </c>
      <c r="AA520" s="4" t="s">
        <v>259</v>
      </c>
      <c r="AC520" s="176">
        <f t="shared" si="76"/>
        <v>0</v>
      </c>
      <c r="AD520"/>
    </row>
    <row r="521" spans="2:30">
      <c r="B521" s="183">
        <f t="shared" si="81"/>
        <v>15</v>
      </c>
      <c r="C521" s="107" t="str">
        <f t="shared" si="82"/>
        <v>ATK</v>
      </c>
      <c r="D521" s="2" t="s">
        <v>1500</v>
      </c>
      <c r="E521" s="3">
        <v>43930</v>
      </c>
      <c r="F521" s="3">
        <v>43931</v>
      </c>
      <c r="G521" s="108">
        <f t="shared" si="83"/>
        <v>4</v>
      </c>
      <c r="H521" s="108" t="str">
        <f t="shared" si="84"/>
        <v>완료</v>
      </c>
      <c r="I521" s="112" t="s">
        <v>1501</v>
      </c>
      <c r="J521" s="4" t="s">
        <v>1502</v>
      </c>
      <c r="K521" s="5" t="s">
        <v>1503</v>
      </c>
      <c r="L521" s="6" t="str">
        <f t="shared" si="79"/>
        <v>EE1</v>
      </c>
      <c r="M521" s="13" t="s">
        <v>207</v>
      </c>
      <c r="N521" s="7" t="s">
        <v>3710</v>
      </c>
      <c r="O521" s="13" t="s">
        <v>339</v>
      </c>
      <c r="P521" s="115" t="s">
        <v>1504</v>
      </c>
      <c r="Q521" s="8"/>
      <c r="R521" s="2">
        <v>1</v>
      </c>
      <c r="S521" s="9">
        <v>600</v>
      </c>
      <c r="T521" s="10">
        <f t="shared" si="77"/>
        <v>300</v>
      </c>
      <c r="U521" s="9">
        <v>25</v>
      </c>
      <c r="V521" s="10">
        <f t="shared" si="78"/>
        <v>275</v>
      </c>
      <c r="W521" s="4" t="s">
        <v>1505</v>
      </c>
      <c r="X521" s="2"/>
      <c r="Y521" s="11">
        <v>2</v>
      </c>
      <c r="Z521" s="12">
        <f t="shared" si="80"/>
        <v>1</v>
      </c>
      <c r="AA521" s="4" t="s">
        <v>1506</v>
      </c>
      <c r="AC521" s="176">
        <f t="shared" si="76"/>
        <v>2.2727272727272728E-2</v>
      </c>
      <c r="AD521"/>
    </row>
    <row r="522" spans="2:30">
      <c r="B522" s="183">
        <f t="shared" si="81"/>
        <v>15</v>
      </c>
      <c r="C522" s="107" t="str">
        <f t="shared" si="82"/>
        <v>ATK</v>
      </c>
      <c r="D522" s="2" t="s">
        <v>1409</v>
      </c>
      <c r="E522" s="3">
        <v>43930</v>
      </c>
      <c r="F522" s="3">
        <v>43930</v>
      </c>
      <c r="G522" s="108">
        <f t="shared" si="83"/>
        <v>4</v>
      </c>
      <c r="H522" s="108" t="str">
        <f t="shared" si="84"/>
        <v>완료</v>
      </c>
      <c r="I522" s="112" t="s">
        <v>218</v>
      </c>
      <c r="J522" s="4" t="s">
        <v>115</v>
      </c>
      <c r="K522" s="5" t="s">
        <v>116</v>
      </c>
      <c r="L522" s="6" t="str">
        <f t="shared" si="79"/>
        <v>EE2</v>
      </c>
      <c r="M522" s="13" t="s">
        <v>1507</v>
      </c>
      <c r="N522" s="7" t="s">
        <v>3711</v>
      </c>
      <c r="O522" s="13" t="s">
        <v>561</v>
      </c>
      <c r="P522" s="115" t="s">
        <v>1513</v>
      </c>
      <c r="Q522" s="8"/>
      <c r="R522" s="2">
        <v>1</v>
      </c>
      <c r="S522" s="9">
        <v>2000</v>
      </c>
      <c r="T522" s="10">
        <f t="shared" si="77"/>
        <v>1000</v>
      </c>
      <c r="U522" s="9"/>
      <c r="V522" s="10">
        <f t="shared" si="78"/>
        <v>1000</v>
      </c>
      <c r="W522" s="4" t="s">
        <v>122</v>
      </c>
      <c r="X522" s="2"/>
      <c r="Y522" s="11">
        <v>4</v>
      </c>
      <c r="Z522" s="12">
        <f t="shared" si="80"/>
        <v>0</v>
      </c>
      <c r="AA522" s="4" t="s">
        <v>212</v>
      </c>
      <c r="AC522" s="176">
        <f t="shared" si="76"/>
        <v>0</v>
      </c>
      <c r="AD522"/>
    </row>
    <row r="523" spans="2:30">
      <c r="B523" s="183">
        <f t="shared" si="81"/>
        <v>15</v>
      </c>
      <c r="C523" s="107" t="str">
        <f t="shared" si="82"/>
        <v>ATK</v>
      </c>
      <c r="D523" s="2" t="s">
        <v>1509</v>
      </c>
      <c r="E523" s="3">
        <v>43931</v>
      </c>
      <c r="F523" s="3">
        <v>43931</v>
      </c>
      <c r="G523" s="108">
        <f t="shared" si="83"/>
        <v>4</v>
      </c>
      <c r="H523" s="108" t="str">
        <f t="shared" si="84"/>
        <v>완료</v>
      </c>
      <c r="I523" s="112" t="s">
        <v>218</v>
      </c>
      <c r="J523" s="4" t="s">
        <v>121</v>
      </c>
      <c r="K523" s="5" t="s">
        <v>136</v>
      </c>
      <c r="L523" s="6" t="str">
        <f t="shared" si="79"/>
        <v>5T1</v>
      </c>
      <c r="M523" s="13" t="s">
        <v>1508</v>
      </c>
      <c r="N523" s="7" t="s">
        <v>3712</v>
      </c>
      <c r="O523" s="13" t="s">
        <v>1511</v>
      </c>
      <c r="P523" s="115" t="s">
        <v>1512</v>
      </c>
      <c r="Q523" s="8"/>
      <c r="R523" s="2">
        <v>1</v>
      </c>
      <c r="S523" s="9">
        <v>8000</v>
      </c>
      <c r="T523" s="10">
        <f t="shared" si="77"/>
        <v>4000</v>
      </c>
      <c r="U523" s="9">
        <v>30</v>
      </c>
      <c r="V523" s="10">
        <f t="shared" si="78"/>
        <v>3970</v>
      </c>
      <c r="W523" s="4" t="s">
        <v>122</v>
      </c>
      <c r="X523" s="2"/>
      <c r="Y523" s="11">
        <v>5</v>
      </c>
      <c r="Z523" s="12">
        <f t="shared" si="80"/>
        <v>0</v>
      </c>
      <c r="AA523" s="4" t="s">
        <v>259</v>
      </c>
      <c r="AC523" s="176">
        <f t="shared" si="76"/>
        <v>2.7272727272727271E-2</v>
      </c>
      <c r="AD523"/>
    </row>
    <row r="524" spans="2:30">
      <c r="B524" s="183">
        <f t="shared" si="81"/>
        <v>15</v>
      </c>
      <c r="C524" s="107" t="str">
        <f t="shared" si="82"/>
        <v>ATK</v>
      </c>
      <c r="D524" s="2" t="s">
        <v>1510</v>
      </c>
      <c r="E524" s="3">
        <v>43931</v>
      </c>
      <c r="F524" s="3">
        <v>43931</v>
      </c>
      <c r="G524" s="108">
        <f t="shared" si="83"/>
        <v>4</v>
      </c>
      <c r="H524" s="108" t="str">
        <f t="shared" si="84"/>
        <v>완료</v>
      </c>
      <c r="I524" s="112" t="s">
        <v>218</v>
      </c>
      <c r="J524" s="4" t="s">
        <v>173</v>
      </c>
      <c r="K524" s="5" t="s">
        <v>135</v>
      </c>
      <c r="L524" s="6" t="str">
        <f t="shared" si="79"/>
        <v>1T3</v>
      </c>
      <c r="M524" s="13" t="s">
        <v>1531</v>
      </c>
      <c r="N524" s="7" t="s">
        <v>3712</v>
      </c>
      <c r="O524" s="13" t="s">
        <v>1511</v>
      </c>
      <c r="P524" s="115" t="s">
        <v>1512</v>
      </c>
      <c r="Q524" s="8"/>
      <c r="R524" s="2">
        <v>1</v>
      </c>
      <c r="S524" s="9">
        <v>8000</v>
      </c>
      <c r="T524" s="10">
        <f t="shared" si="77"/>
        <v>4000</v>
      </c>
      <c r="U524" s="9">
        <v>35</v>
      </c>
      <c r="V524" s="10">
        <f t="shared" si="78"/>
        <v>3965</v>
      </c>
      <c r="W524" s="4" t="s">
        <v>122</v>
      </c>
      <c r="X524" s="2"/>
      <c r="Y524" s="11">
        <v>5</v>
      </c>
      <c r="Z524" s="12">
        <f t="shared" si="80"/>
        <v>0</v>
      </c>
      <c r="AA524" s="4" t="s">
        <v>212</v>
      </c>
      <c r="AC524" s="176">
        <f t="shared" si="76"/>
        <v>3.1818181818181815E-2</v>
      </c>
      <c r="AD524"/>
    </row>
    <row r="525" spans="2:30">
      <c r="B525" s="183">
        <f t="shared" si="81"/>
        <v>15</v>
      </c>
      <c r="C525" s="107" t="str">
        <f t="shared" si="82"/>
        <v>ATK</v>
      </c>
      <c r="D525" s="2" t="s">
        <v>1514</v>
      </c>
      <c r="E525" s="3">
        <v>43930</v>
      </c>
      <c r="F525" s="3">
        <v>43931</v>
      </c>
      <c r="G525" s="108">
        <f t="shared" si="83"/>
        <v>4</v>
      </c>
      <c r="H525" s="108" t="str">
        <f t="shared" si="84"/>
        <v>완료</v>
      </c>
      <c r="I525" s="112" t="s">
        <v>218</v>
      </c>
      <c r="J525" s="4" t="s">
        <v>132</v>
      </c>
      <c r="K525" s="5" t="s">
        <v>322</v>
      </c>
      <c r="L525" s="6" t="str">
        <f t="shared" si="79"/>
        <v>3T1</v>
      </c>
      <c r="M525" s="13" t="s">
        <v>207</v>
      </c>
      <c r="N525" s="13" t="s">
        <v>3563</v>
      </c>
      <c r="O525" s="7" t="s">
        <v>339</v>
      </c>
      <c r="P525" s="115" t="s">
        <v>899</v>
      </c>
      <c r="Q525" s="8"/>
      <c r="R525" s="2">
        <v>1</v>
      </c>
      <c r="S525" s="9">
        <v>3000</v>
      </c>
      <c r="T525" s="10">
        <f t="shared" si="77"/>
        <v>1500</v>
      </c>
      <c r="U525" s="9">
        <v>5</v>
      </c>
      <c r="V525" s="10">
        <f t="shared" si="78"/>
        <v>1495</v>
      </c>
      <c r="W525" s="4" t="s">
        <v>122</v>
      </c>
      <c r="X525" s="2"/>
      <c r="Y525" s="11">
        <v>2</v>
      </c>
      <c r="Z525" s="12">
        <f t="shared" si="80"/>
        <v>1</v>
      </c>
      <c r="AA525" s="4" t="s">
        <v>174</v>
      </c>
      <c r="AC525" s="176">
        <f t="shared" si="76"/>
        <v>4.5454545454545452E-3</v>
      </c>
      <c r="AD525"/>
    </row>
    <row r="526" spans="2:30">
      <c r="B526" s="183">
        <f t="shared" si="81"/>
        <v>16</v>
      </c>
      <c r="C526" s="107" t="str">
        <f t="shared" si="82"/>
        <v>ATK</v>
      </c>
      <c r="D526" s="2" t="s">
        <v>1515</v>
      </c>
      <c r="E526" s="3">
        <v>43930</v>
      </c>
      <c r="F526" s="3">
        <v>43934</v>
      </c>
      <c r="G526" s="108">
        <f t="shared" si="83"/>
        <v>4</v>
      </c>
      <c r="H526" s="108" t="str">
        <f t="shared" si="84"/>
        <v>완료</v>
      </c>
      <c r="I526" s="112" t="s">
        <v>218</v>
      </c>
      <c r="J526" s="4" t="s">
        <v>1541</v>
      </c>
      <c r="K526" s="5" t="s">
        <v>133</v>
      </c>
      <c r="L526" s="6" t="str">
        <f t="shared" si="79"/>
        <v>3T3</v>
      </c>
      <c r="M526" s="13" t="s">
        <v>270</v>
      </c>
      <c r="N526" s="7" t="s">
        <v>3631</v>
      </c>
      <c r="O526" s="13" t="s">
        <v>270</v>
      </c>
      <c r="P526" s="115" t="s">
        <v>1523</v>
      </c>
      <c r="Q526" s="8"/>
      <c r="R526" s="2">
        <v>1</v>
      </c>
      <c r="S526" s="9">
        <v>710</v>
      </c>
      <c r="T526" s="10">
        <f t="shared" si="77"/>
        <v>355</v>
      </c>
      <c r="U526" s="9">
        <v>60</v>
      </c>
      <c r="V526" s="10">
        <f t="shared" si="78"/>
        <v>295</v>
      </c>
      <c r="W526" s="4" t="s">
        <v>1517</v>
      </c>
      <c r="X526" s="2"/>
      <c r="Y526" s="11">
        <v>3</v>
      </c>
      <c r="Z526" s="12">
        <f t="shared" si="80"/>
        <v>4</v>
      </c>
      <c r="AA526" s="4" t="s">
        <v>1516</v>
      </c>
      <c r="AC526" s="176">
        <f t="shared" si="76"/>
        <v>5.4545454545454543E-2</v>
      </c>
      <c r="AD526"/>
    </row>
    <row r="527" spans="2:30">
      <c r="B527" s="183">
        <f t="shared" si="81"/>
        <v>16</v>
      </c>
      <c r="C527" s="107" t="str">
        <f t="shared" si="82"/>
        <v>ATK</v>
      </c>
      <c r="D527" s="2" t="s">
        <v>307</v>
      </c>
      <c r="E527" s="3">
        <v>43931</v>
      </c>
      <c r="F527" s="3">
        <v>43934</v>
      </c>
      <c r="G527" s="108">
        <f t="shared" si="83"/>
        <v>4</v>
      </c>
      <c r="H527" s="108" t="str">
        <f t="shared" si="84"/>
        <v>완료</v>
      </c>
      <c r="I527" s="112" t="s">
        <v>218</v>
      </c>
      <c r="J527" s="4" t="s">
        <v>139</v>
      </c>
      <c r="K527" s="5" t="s">
        <v>128</v>
      </c>
      <c r="L527" s="6" t="str">
        <f t="shared" si="79"/>
        <v>1T1</v>
      </c>
      <c r="M527" s="13" t="s">
        <v>213</v>
      </c>
      <c r="N527" s="7" t="s">
        <v>3675</v>
      </c>
      <c r="O527" s="13" t="s">
        <v>1308</v>
      </c>
      <c r="P527" s="115" t="s">
        <v>1518</v>
      </c>
      <c r="Q527" s="8" t="s">
        <v>1310</v>
      </c>
      <c r="R527" s="2">
        <v>1</v>
      </c>
      <c r="S527" s="9">
        <v>4000</v>
      </c>
      <c r="T527" s="10">
        <f t="shared" si="77"/>
        <v>2000</v>
      </c>
      <c r="U527" s="9">
        <v>150</v>
      </c>
      <c r="V527" s="10">
        <f t="shared" si="78"/>
        <v>1850</v>
      </c>
      <c r="W527" s="4" t="s">
        <v>122</v>
      </c>
      <c r="X527" s="2"/>
      <c r="Y527" s="11">
        <v>5</v>
      </c>
      <c r="Z527" s="12">
        <f t="shared" si="80"/>
        <v>3</v>
      </c>
      <c r="AA527" s="4" t="s">
        <v>120</v>
      </c>
      <c r="AC527" s="176">
        <f t="shared" si="76"/>
        <v>0.13636363636363635</v>
      </c>
      <c r="AD527"/>
    </row>
    <row r="528" spans="2:30">
      <c r="B528" s="183">
        <f t="shared" si="81"/>
        <v>16</v>
      </c>
      <c r="C528" s="107" t="str">
        <f t="shared" si="82"/>
        <v>ATK</v>
      </c>
      <c r="D528" s="2" t="s">
        <v>463</v>
      </c>
      <c r="E528" s="3">
        <v>43934</v>
      </c>
      <c r="F528" s="3">
        <v>43934</v>
      </c>
      <c r="G528" s="108">
        <f t="shared" si="83"/>
        <v>4</v>
      </c>
      <c r="H528" s="108" t="str">
        <f t="shared" si="84"/>
        <v>완료</v>
      </c>
      <c r="I528" s="112" t="s">
        <v>218</v>
      </c>
      <c r="J528" s="4" t="s">
        <v>121</v>
      </c>
      <c r="K528" s="5" t="s">
        <v>136</v>
      </c>
      <c r="L528" s="6" t="str">
        <f t="shared" si="79"/>
        <v>5T1</v>
      </c>
      <c r="M528" s="13" t="s">
        <v>226</v>
      </c>
      <c r="N528" s="7" t="s">
        <v>3625</v>
      </c>
      <c r="O528" s="13" t="s">
        <v>947</v>
      </c>
      <c r="P528" s="115" t="s">
        <v>227</v>
      </c>
      <c r="Q528" s="8"/>
      <c r="R528" s="2">
        <v>1</v>
      </c>
      <c r="S528" s="9">
        <v>7000</v>
      </c>
      <c r="T528" s="10">
        <f t="shared" si="77"/>
        <v>3500</v>
      </c>
      <c r="U528" s="9">
        <v>100</v>
      </c>
      <c r="V528" s="10">
        <f t="shared" si="78"/>
        <v>3400</v>
      </c>
      <c r="W528" s="4" t="s">
        <v>122</v>
      </c>
      <c r="X528" s="2"/>
      <c r="Y528" s="11">
        <v>6</v>
      </c>
      <c r="Z528" s="12">
        <f t="shared" si="80"/>
        <v>0</v>
      </c>
      <c r="AA528" s="4" t="s">
        <v>27</v>
      </c>
      <c r="AC528" s="176">
        <f t="shared" si="76"/>
        <v>9.0909090909090912E-2</v>
      </c>
      <c r="AD528"/>
    </row>
    <row r="529" spans="2:30">
      <c r="B529" s="183">
        <f t="shared" si="81"/>
        <v>16</v>
      </c>
      <c r="C529" s="107" t="str">
        <f t="shared" si="82"/>
        <v>ATK</v>
      </c>
      <c r="D529" s="2" t="s">
        <v>1519</v>
      </c>
      <c r="E529" s="3">
        <v>43934</v>
      </c>
      <c r="F529" s="3">
        <v>43934</v>
      </c>
      <c r="G529" s="108">
        <f t="shared" si="83"/>
        <v>4</v>
      </c>
      <c r="H529" s="108" t="str">
        <f t="shared" si="84"/>
        <v>Other</v>
      </c>
      <c r="I529" s="112" t="s">
        <v>317</v>
      </c>
      <c r="J529" s="4" t="s">
        <v>173</v>
      </c>
      <c r="K529" s="5" t="s">
        <v>128</v>
      </c>
      <c r="L529" s="6" t="str">
        <f t="shared" si="79"/>
        <v>1T1</v>
      </c>
      <c r="M529" s="13" t="s">
        <v>1520</v>
      </c>
      <c r="N529" s="7" t="s">
        <v>3713</v>
      </c>
      <c r="O529" s="13" t="s">
        <v>1521</v>
      </c>
      <c r="P529" s="115" t="s">
        <v>1522</v>
      </c>
      <c r="Q529" s="8"/>
      <c r="R529" s="2">
        <v>1</v>
      </c>
      <c r="S529" s="9">
        <v>930</v>
      </c>
      <c r="T529" s="10">
        <f t="shared" si="77"/>
        <v>465</v>
      </c>
      <c r="U529" s="9">
        <v>0</v>
      </c>
      <c r="V529" s="10">
        <f t="shared" si="78"/>
        <v>465</v>
      </c>
      <c r="W529" s="4" t="s">
        <v>122</v>
      </c>
      <c r="X529" s="2"/>
      <c r="Y529" s="11">
        <v>2</v>
      </c>
      <c r="Z529" s="12">
        <f t="shared" si="80"/>
        <v>0</v>
      </c>
      <c r="AA529" s="4" t="s">
        <v>117</v>
      </c>
      <c r="AC529" s="176">
        <f t="shared" si="76"/>
        <v>0</v>
      </c>
      <c r="AD529"/>
    </row>
    <row r="530" spans="2:30">
      <c r="B530" s="183">
        <f t="shared" si="81"/>
        <v>16</v>
      </c>
      <c r="C530" s="107" t="str">
        <f t="shared" si="82"/>
        <v>ATK</v>
      </c>
      <c r="D530" s="2" t="s">
        <v>541</v>
      </c>
      <c r="E530" s="3">
        <v>43934</v>
      </c>
      <c r="F530" s="3">
        <v>43934</v>
      </c>
      <c r="G530" s="108">
        <f t="shared" si="83"/>
        <v>4</v>
      </c>
      <c r="H530" s="108" t="str">
        <f t="shared" si="84"/>
        <v>완료</v>
      </c>
      <c r="I530" s="112" t="s">
        <v>218</v>
      </c>
      <c r="J530" s="4" t="s">
        <v>132</v>
      </c>
      <c r="K530" s="5" t="s">
        <v>322</v>
      </c>
      <c r="L530" s="6" t="str">
        <f t="shared" si="79"/>
        <v>3T1</v>
      </c>
      <c r="M530" s="13" t="s">
        <v>542</v>
      </c>
      <c r="N530" s="13" t="s">
        <v>3554</v>
      </c>
      <c r="O530" s="7" t="s">
        <v>543</v>
      </c>
      <c r="P530" s="115" t="s">
        <v>544</v>
      </c>
      <c r="Q530" s="8"/>
      <c r="R530" s="2">
        <v>1</v>
      </c>
      <c r="S530" s="9">
        <v>70</v>
      </c>
      <c r="T530" s="10">
        <f t="shared" si="77"/>
        <v>35</v>
      </c>
      <c r="U530" s="9">
        <v>1</v>
      </c>
      <c r="V530" s="10">
        <f t="shared" si="78"/>
        <v>34</v>
      </c>
      <c r="W530" s="4" t="s">
        <v>122</v>
      </c>
      <c r="X530" s="2"/>
      <c r="Y530" s="11">
        <v>2</v>
      </c>
      <c r="Z530" s="12">
        <f t="shared" si="80"/>
        <v>0</v>
      </c>
      <c r="AA530" s="4" t="s">
        <v>120</v>
      </c>
      <c r="AC530" s="176">
        <f t="shared" si="76"/>
        <v>9.0909090909090909E-4</v>
      </c>
      <c r="AD530"/>
    </row>
    <row r="531" spans="2:30">
      <c r="B531" s="183">
        <f t="shared" si="81"/>
        <v>16</v>
      </c>
      <c r="C531" s="107" t="str">
        <f t="shared" si="82"/>
        <v>ATK</v>
      </c>
      <c r="D531" s="2" t="s">
        <v>1524</v>
      </c>
      <c r="E531" s="3">
        <v>43934</v>
      </c>
      <c r="F531" s="3">
        <v>43934</v>
      </c>
      <c r="G531" s="108">
        <f t="shared" si="83"/>
        <v>4</v>
      </c>
      <c r="H531" s="108" t="str">
        <f t="shared" si="84"/>
        <v>완료</v>
      </c>
      <c r="I531" s="112" t="s">
        <v>218</v>
      </c>
      <c r="J531" s="4" t="s">
        <v>132</v>
      </c>
      <c r="K531" s="5" t="s">
        <v>1193</v>
      </c>
      <c r="L531" s="6" t="str">
        <f t="shared" si="79"/>
        <v>3T2</v>
      </c>
      <c r="M531" s="13" t="s">
        <v>1525</v>
      </c>
      <c r="N531" s="7" t="s">
        <v>3714</v>
      </c>
      <c r="O531" s="13" t="s">
        <v>1526</v>
      </c>
      <c r="P531" s="115" t="s">
        <v>1527</v>
      </c>
      <c r="Q531" s="8"/>
      <c r="R531" s="2">
        <v>1</v>
      </c>
      <c r="S531" s="9">
        <v>500</v>
      </c>
      <c r="T531" s="10">
        <f t="shared" si="77"/>
        <v>250</v>
      </c>
      <c r="U531" s="9"/>
      <c r="V531" s="10">
        <f t="shared" si="78"/>
        <v>250</v>
      </c>
      <c r="W531" s="4" t="s">
        <v>122</v>
      </c>
      <c r="X531" s="2"/>
      <c r="Y531" s="11">
        <v>2</v>
      </c>
      <c r="Z531" s="12">
        <f t="shared" si="80"/>
        <v>0</v>
      </c>
      <c r="AA531" s="4" t="s">
        <v>259</v>
      </c>
      <c r="AC531" s="176">
        <f t="shared" si="76"/>
        <v>0</v>
      </c>
      <c r="AD531"/>
    </row>
    <row r="532" spans="2:30">
      <c r="B532" s="183">
        <f t="shared" si="81"/>
        <v>16</v>
      </c>
      <c r="C532" s="107" t="str">
        <f t="shared" si="82"/>
        <v>ATK</v>
      </c>
      <c r="D532" s="2" t="s">
        <v>1529</v>
      </c>
      <c r="E532" s="3">
        <v>43934</v>
      </c>
      <c r="F532" s="3">
        <v>43934</v>
      </c>
      <c r="G532" s="108">
        <f t="shared" si="83"/>
        <v>4</v>
      </c>
      <c r="H532" s="108" t="str">
        <f t="shared" si="84"/>
        <v>완료</v>
      </c>
      <c r="I532" s="112" t="s">
        <v>218</v>
      </c>
      <c r="J532" s="4" t="s">
        <v>118</v>
      </c>
      <c r="K532" s="5" t="s">
        <v>119</v>
      </c>
      <c r="L532" s="6" t="str">
        <f t="shared" si="79"/>
        <v>2T3</v>
      </c>
      <c r="M532" s="13" t="s">
        <v>1530</v>
      </c>
      <c r="N532" s="7" t="s">
        <v>3715</v>
      </c>
      <c r="O532" s="13" t="s">
        <v>1528</v>
      </c>
      <c r="P532" s="115" t="s">
        <v>1527</v>
      </c>
      <c r="Q532" s="8"/>
      <c r="R532" s="2">
        <v>3</v>
      </c>
      <c r="S532" s="9">
        <v>1200</v>
      </c>
      <c r="T532" s="10">
        <f t="shared" si="77"/>
        <v>1800</v>
      </c>
      <c r="U532" s="9"/>
      <c r="V532" s="10">
        <f t="shared" si="78"/>
        <v>1800</v>
      </c>
      <c r="W532" s="4" t="s">
        <v>122</v>
      </c>
      <c r="X532" s="2"/>
      <c r="Y532" s="11">
        <v>5</v>
      </c>
      <c r="Z532" s="12">
        <f t="shared" si="80"/>
        <v>0</v>
      </c>
      <c r="AA532" s="4" t="s">
        <v>259</v>
      </c>
      <c r="AC532" s="176">
        <f t="shared" si="76"/>
        <v>0</v>
      </c>
      <c r="AD532"/>
    </row>
    <row r="533" spans="2:30">
      <c r="B533" s="183">
        <f t="shared" si="81"/>
        <v>16</v>
      </c>
      <c r="C533" s="107" t="str">
        <f t="shared" si="82"/>
        <v>ATK</v>
      </c>
      <c r="D533" s="2" t="s">
        <v>764</v>
      </c>
      <c r="E533" s="3">
        <v>43934</v>
      </c>
      <c r="F533" s="3">
        <v>43934</v>
      </c>
      <c r="G533" s="108">
        <f t="shared" si="83"/>
        <v>4</v>
      </c>
      <c r="H533" s="108" t="str">
        <f t="shared" si="84"/>
        <v>완료</v>
      </c>
      <c r="I533" s="112" t="s">
        <v>218</v>
      </c>
      <c r="J533" s="4" t="s">
        <v>173</v>
      </c>
      <c r="K533" s="5" t="s">
        <v>135</v>
      </c>
      <c r="L533" s="6" t="str">
        <f t="shared" si="79"/>
        <v>1T3</v>
      </c>
      <c r="M533" s="13" t="s">
        <v>1531</v>
      </c>
      <c r="N533" s="7" t="s">
        <v>3716</v>
      </c>
      <c r="O533" s="13" t="s">
        <v>1532</v>
      </c>
      <c r="P533" s="115" t="s">
        <v>1534</v>
      </c>
      <c r="Q533" s="8"/>
      <c r="R533" s="2">
        <v>1</v>
      </c>
      <c r="S533" s="9">
        <v>1000</v>
      </c>
      <c r="T533" s="10">
        <f t="shared" si="77"/>
        <v>500</v>
      </c>
      <c r="U533" s="9">
        <v>20</v>
      </c>
      <c r="V533" s="10">
        <f t="shared" si="78"/>
        <v>480</v>
      </c>
      <c r="W533" s="4" t="s">
        <v>122</v>
      </c>
      <c r="X533" s="2"/>
      <c r="Y533" s="11">
        <v>5</v>
      </c>
      <c r="Z533" s="12">
        <f t="shared" si="80"/>
        <v>0</v>
      </c>
      <c r="AA533" s="4" t="s">
        <v>212</v>
      </c>
      <c r="AC533" s="176">
        <f t="shared" si="76"/>
        <v>1.8181818181818181E-2</v>
      </c>
      <c r="AD533"/>
    </row>
    <row r="534" spans="2:30">
      <c r="B534" s="183">
        <f t="shared" si="81"/>
        <v>16</v>
      </c>
      <c r="C534" s="107" t="str">
        <f t="shared" si="82"/>
        <v>ATK</v>
      </c>
      <c r="D534" s="2" t="s">
        <v>764</v>
      </c>
      <c r="E534" s="3">
        <v>43934</v>
      </c>
      <c r="F534" s="3">
        <v>43934</v>
      </c>
      <c r="G534" s="108">
        <f t="shared" si="83"/>
        <v>4</v>
      </c>
      <c r="H534" s="108" t="str">
        <f t="shared" si="84"/>
        <v>완료</v>
      </c>
      <c r="I534" s="112" t="s">
        <v>218</v>
      </c>
      <c r="J534" s="4" t="s">
        <v>173</v>
      </c>
      <c r="K534" s="5" t="s">
        <v>135</v>
      </c>
      <c r="L534" s="6" t="str">
        <f t="shared" si="79"/>
        <v>1T3</v>
      </c>
      <c r="M534" s="13" t="s">
        <v>1531</v>
      </c>
      <c r="N534" s="7" t="s">
        <v>3717</v>
      </c>
      <c r="O534" s="13"/>
      <c r="P534" s="115" t="s">
        <v>1533</v>
      </c>
      <c r="Q534" s="8"/>
      <c r="R534" s="2">
        <v>1</v>
      </c>
      <c r="S534" s="9">
        <v>500</v>
      </c>
      <c r="T534" s="10">
        <f t="shared" si="77"/>
        <v>250</v>
      </c>
      <c r="U534" s="9">
        <v>15</v>
      </c>
      <c r="V534" s="10">
        <f t="shared" si="78"/>
        <v>235</v>
      </c>
      <c r="W534" s="4" t="s">
        <v>122</v>
      </c>
      <c r="X534" s="2"/>
      <c r="Y534" s="11">
        <v>3</v>
      </c>
      <c r="Z534" s="12">
        <f t="shared" si="80"/>
        <v>0</v>
      </c>
      <c r="AA534" s="4" t="s">
        <v>212</v>
      </c>
      <c r="AC534" s="176">
        <f t="shared" si="76"/>
        <v>1.3636363636363636E-2</v>
      </c>
      <c r="AD534"/>
    </row>
    <row r="535" spans="2:30">
      <c r="B535" s="183">
        <f t="shared" si="81"/>
        <v>16</v>
      </c>
      <c r="C535" s="107" t="str">
        <f t="shared" si="82"/>
        <v>ATK</v>
      </c>
      <c r="D535" s="2" t="s">
        <v>492</v>
      </c>
      <c r="E535" s="3">
        <v>43931</v>
      </c>
      <c r="F535" s="3">
        <v>43934</v>
      </c>
      <c r="G535" s="108">
        <f t="shared" si="83"/>
        <v>4</v>
      </c>
      <c r="H535" s="108" t="str">
        <f t="shared" si="84"/>
        <v>완료</v>
      </c>
      <c r="I535" s="112" t="s">
        <v>218</v>
      </c>
      <c r="J535" s="4" t="s">
        <v>281</v>
      </c>
      <c r="K535" s="5" t="s">
        <v>332</v>
      </c>
      <c r="L535" s="6" t="str">
        <f t="shared" si="79"/>
        <v>EE2</v>
      </c>
      <c r="M535" s="13" t="s">
        <v>256</v>
      </c>
      <c r="N535" s="7" t="s">
        <v>3718</v>
      </c>
      <c r="O535" s="13" t="s">
        <v>1077</v>
      </c>
      <c r="P535" s="115" t="s">
        <v>1535</v>
      </c>
      <c r="Q535" s="8"/>
      <c r="R535" s="2">
        <v>1</v>
      </c>
      <c r="S535" s="9">
        <v>2500</v>
      </c>
      <c r="T535" s="10">
        <f t="shared" si="77"/>
        <v>1250</v>
      </c>
      <c r="U535" s="9">
        <v>5</v>
      </c>
      <c r="V535" s="10">
        <f t="shared" si="78"/>
        <v>1245</v>
      </c>
      <c r="W535" s="4" t="s">
        <v>249</v>
      </c>
      <c r="X535" s="2"/>
      <c r="Y535" s="11">
        <v>6</v>
      </c>
      <c r="Z535" s="12">
        <f t="shared" si="80"/>
        <v>3</v>
      </c>
      <c r="AA535" s="4" t="s">
        <v>27</v>
      </c>
      <c r="AC535" s="176">
        <f t="shared" si="76"/>
        <v>4.5454545454545452E-3</v>
      </c>
      <c r="AD535"/>
    </row>
    <row r="536" spans="2:30">
      <c r="B536" s="183">
        <f t="shared" si="81"/>
        <v>16</v>
      </c>
      <c r="C536" s="107" t="str">
        <f t="shared" si="82"/>
        <v>ATK</v>
      </c>
      <c r="D536" s="2" t="s">
        <v>1536</v>
      </c>
      <c r="E536" s="3">
        <v>43934</v>
      </c>
      <c r="F536" s="3">
        <v>43934</v>
      </c>
      <c r="G536" s="108">
        <f t="shared" si="83"/>
        <v>4</v>
      </c>
      <c r="H536" s="108" t="str">
        <f t="shared" si="84"/>
        <v>완료</v>
      </c>
      <c r="I536" s="112" t="s">
        <v>218</v>
      </c>
      <c r="J536" s="4" t="s">
        <v>132</v>
      </c>
      <c r="K536" s="5" t="s">
        <v>322</v>
      </c>
      <c r="L536" s="6" t="str">
        <f t="shared" si="79"/>
        <v>3T1</v>
      </c>
      <c r="M536" s="13" t="s">
        <v>1537</v>
      </c>
      <c r="N536" s="7" t="s">
        <v>3719</v>
      </c>
      <c r="O536" s="13" t="s">
        <v>1538</v>
      </c>
      <c r="P536" s="115"/>
      <c r="Q536" s="8"/>
      <c r="R536" s="2">
        <v>1</v>
      </c>
      <c r="S536" s="9">
        <v>600</v>
      </c>
      <c r="T536" s="10">
        <f t="shared" si="77"/>
        <v>300</v>
      </c>
      <c r="U536" s="9">
        <v>10</v>
      </c>
      <c r="V536" s="10">
        <f t="shared" si="78"/>
        <v>290</v>
      </c>
      <c r="W536" s="4" t="s">
        <v>122</v>
      </c>
      <c r="X536" s="2"/>
      <c r="Y536" s="11">
        <v>2</v>
      </c>
      <c r="Z536" s="12">
        <f t="shared" si="80"/>
        <v>0</v>
      </c>
      <c r="AA536" s="4" t="s">
        <v>117</v>
      </c>
      <c r="AC536" s="176">
        <f t="shared" si="76"/>
        <v>9.0909090909090905E-3</v>
      </c>
      <c r="AD536"/>
    </row>
    <row r="537" spans="2:30">
      <c r="B537" s="183">
        <f t="shared" si="81"/>
        <v>16</v>
      </c>
      <c r="C537" s="107" t="str">
        <f t="shared" si="82"/>
        <v>ATK</v>
      </c>
      <c r="D537" s="2" t="s">
        <v>1539</v>
      </c>
      <c r="E537" s="3">
        <v>43934</v>
      </c>
      <c r="F537" s="3">
        <v>43934</v>
      </c>
      <c r="G537" s="108">
        <f t="shared" si="83"/>
        <v>4</v>
      </c>
      <c r="H537" s="108" t="str">
        <f t="shared" si="84"/>
        <v>완료</v>
      </c>
      <c r="I537" s="112" t="s">
        <v>1540</v>
      </c>
      <c r="J537" s="4" t="s">
        <v>1542</v>
      </c>
      <c r="K537" s="5" t="s">
        <v>1091</v>
      </c>
      <c r="L537" s="6" t="str">
        <f t="shared" si="79"/>
        <v>5T2</v>
      </c>
      <c r="M537" s="13" t="s">
        <v>270</v>
      </c>
      <c r="N537" s="7" t="s">
        <v>3631</v>
      </c>
      <c r="O537" s="13" t="s">
        <v>270</v>
      </c>
      <c r="P537" s="115" t="s">
        <v>271</v>
      </c>
      <c r="Q537" s="8"/>
      <c r="R537" s="2">
        <v>1</v>
      </c>
      <c r="S537" s="9">
        <v>710</v>
      </c>
      <c r="T537" s="10">
        <f t="shared" si="77"/>
        <v>355</v>
      </c>
      <c r="U537" s="9">
        <v>50</v>
      </c>
      <c r="V537" s="10">
        <f t="shared" si="78"/>
        <v>305</v>
      </c>
      <c r="W537" s="4" t="s">
        <v>249</v>
      </c>
      <c r="X537" s="2"/>
      <c r="Y537" s="11">
        <v>2</v>
      </c>
      <c r="Z537" s="12">
        <f t="shared" si="80"/>
        <v>0</v>
      </c>
      <c r="AA537" s="4" t="s">
        <v>174</v>
      </c>
      <c r="AC537" s="176">
        <f t="shared" si="76"/>
        <v>4.5454545454545456E-2</v>
      </c>
      <c r="AD537"/>
    </row>
    <row r="538" spans="2:30">
      <c r="B538" s="183">
        <f t="shared" si="81"/>
        <v>20</v>
      </c>
      <c r="C538" s="107" t="str">
        <f t="shared" si="82"/>
        <v>ATK</v>
      </c>
      <c r="D538" s="2" t="s">
        <v>1222</v>
      </c>
      <c r="E538" s="3">
        <v>43934</v>
      </c>
      <c r="F538" s="3">
        <v>43966</v>
      </c>
      <c r="G538" s="108">
        <f t="shared" si="83"/>
        <v>5</v>
      </c>
      <c r="H538" s="108" t="str">
        <f t="shared" si="84"/>
        <v>완료</v>
      </c>
      <c r="I538" s="112" t="s">
        <v>218</v>
      </c>
      <c r="J538" s="4" t="s">
        <v>281</v>
      </c>
      <c r="K538" s="5" t="s">
        <v>332</v>
      </c>
      <c r="L538" s="6" t="str">
        <f t="shared" si="79"/>
        <v>EE2</v>
      </c>
      <c r="M538" s="13" t="s">
        <v>256</v>
      </c>
      <c r="N538" s="7" t="s">
        <v>3594</v>
      </c>
      <c r="O538" s="13" t="s">
        <v>1543</v>
      </c>
      <c r="P538" s="115" t="s">
        <v>1544</v>
      </c>
      <c r="Q538" s="8"/>
      <c r="R538" s="2">
        <v>1</v>
      </c>
      <c r="S538" s="9">
        <v>1600</v>
      </c>
      <c r="T538" s="10">
        <f t="shared" si="77"/>
        <v>800</v>
      </c>
      <c r="U538" s="9">
        <v>50</v>
      </c>
      <c r="V538" s="10">
        <f t="shared" si="78"/>
        <v>750</v>
      </c>
      <c r="W538" s="4" t="s">
        <v>249</v>
      </c>
      <c r="X538" s="2"/>
      <c r="Y538" s="11">
        <v>4</v>
      </c>
      <c r="Z538" s="12">
        <f t="shared" si="80"/>
        <v>32</v>
      </c>
      <c r="AA538" s="4" t="s">
        <v>27</v>
      </c>
      <c r="AC538" s="176">
        <f t="shared" si="76"/>
        <v>4.5454545454545456E-2</v>
      </c>
      <c r="AD538"/>
    </row>
    <row r="539" spans="2:30">
      <c r="B539" s="183">
        <f t="shared" si="81"/>
        <v>16</v>
      </c>
      <c r="C539" s="107" t="str">
        <f t="shared" si="82"/>
        <v>ATK</v>
      </c>
      <c r="D539" s="2" t="s">
        <v>1545</v>
      </c>
      <c r="E539" s="3">
        <v>43935</v>
      </c>
      <c r="F539" s="3">
        <v>43935</v>
      </c>
      <c r="G539" s="108">
        <f t="shared" si="83"/>
        <v>4</v>
      </c>
      <c r="H539" s="108" t="str">
        <f t="shared" si="84"/>
        <v>완료</v>
      </c>
      <c r="I539" s="112" t="s">
        <v>1547</v>
      </c>
      <c r="J539" s="4" t="s">
        <v>1546</v>
      </c>
      <c r="K539" s="5" t="s">
        <v>695</v>
      </c>
      <c r="L539" s="6" t="str">
        <f t="shared" si="79"/>
        <v>2T2</v>
      </c>
      <c r="M539" s="13" t="s">
        <v>256</v>
      </c>
      <c r="N539" s="7" t="s">
        <v>3529</v>
      </c>
      <c r="O539" s="13" t="s">
        <v>1543</v>
      </c>
      <c r="P539" s="115" t="s">
        <v>1548</v>
      </c>
      <c r="Q539" s="8"/>
      <c r="R539" s="2">
        <v>1</v>
      </c>
      <c r="S539" s="9">
        <v>1600</v>
      </c>
      <c r="T539" s="10">
        <f t="shared" si="77"/>
        <v>800</v>
      </c>
      <c r="U539" s="9">
        <v>50</v>
      </c>
      <c r="V539" s="10">
        <f t="shared" si="78"/>
        <v>750</v>
      </c>
      <c r="W539" s="4" t="s">
        <v>249</v>
      </c>
      <c r="X539" s="2"/>
      <c r="Y539" s="11">
        <v>4</v>
      </c>
      <c r="Z539" s="12">
        <f t="shared" si="80"/>
        <v>0</v>
      </c>
      <c r="AA539" s="4" t="s">
        <v>1549</v>
      </c>
      <c r="AC539" s="176">
        <f t="shared" si="76"/>
        <v>4.5454545454545456E-2</v>
      </c>
      <c r="AD539"/>
    </row>
    <row r="540" spans="2:30">
      <c r="B540" s="183">
        <f t="shared" si="81"/>
        <v>16</v>
      </c>
      <c r="C540" s="107" t="str">
        <f t="shared" si="82"/>
        <v>ATK</v>
      </c>
      <c r="D540" s="2" t="s">
        <v>1551</v>
      </c>
      <c r="E540" s="3">
        <v>43935</v>
      </c>
      <c r="F540" s="3">
        <v>43935</v>
      </c>
      <c r="G540" s="108">
        <f t="shared" si="83"/>
        <v>4</v>
      </c>
      <c r="H540" s="108" t="str">
        <f t="shared" si="84"/>
        <v>완료</v>
      </c>
      <c r="I540" s="112" t="s">
        <v>218</v>
      </c>
      <c r="J540" s="4" t="s">
        <v>118</v>
      </c>
      <c r="K540" s="5" t="s">
        <v>119</v>
      </c>
      <c r="L540" s="6" t="str">
        <f t="shared" si="79"/>
        <v>2T3</v>
      </c>
      <c r="M540" s="13" t="s">
        <v>1552</v>
      </c>
      <c r="N540" s="7" t="s">
        <v>3715</v>
      </c>
      <c r="O540" s="13" t="s">
        <v>789</v>
      </c>
      <c r="P540" s="115" t="s">
        <v>1553</v>
      </c>
      <c r="Q540" s="8"/>
      <c r="R540" s="2">
        <v>2</v>
      </c>
      <c r="S540" s="9">
        <v>1200</v>
      </c>
      <c r="T540" s="10">
        <f t="shared" si="77"/>
        <v>1200</v>
      </c>
      <c r="U540" s="9"/>
      <c r="V540" s="10">
        <f t="shared" si="78"/>
        <v>1200</v>
      </c>
      <c r="W540" s="4" t="s">
        <v>122</v>
      </c>
      <c r="X540" s="2"/>
      <c r="Y540" s="11">
        <v>5</v>
      </c>
      <c r="Z540" s="12">
        <f t="shared" si="80"/>
        <v>0</v>
      </c>
      <c r="AA540" s="4" t="s">
        <v>259</v>
      </c>
      <c r="AC540" s="176">
        <f t="shared" si="76"/>
        <v>0</v>
      </c>
      <c r="AD540"/>
    </row>
    <row r="541" spans="2:30">
      <c r="B541" s="183">
        <f t="shared" si="81"/>
        <v>16</v>
      </c>
      <c r="C541" s="107" t="str">
        <f t="shared" si="82"/>
        <v>ATK</v>
      </c>
      <c r="D541" s="2" t="s">
        <v>1554</v>
      </c>
      <c r="E541" s="3">
        <v>43935</v>
      </c>
      <c r="F541" s="3">
        <v>43935</v>
      </c>
      <c r="G541" s="108">
        <f t="shared" si="83"/>
        <v>4</v>
      </c>
      <c r="H541" s="108" t="str">
        <f t="shared" si="84"/>
        <v>완료</v>
      </c>
      <c r="I541" s="112" t="s">
        <v>218</v>
      </c>
      <c r="J541" s="4" t="s">
        <v>121</v>
      </c>
      <c r="K541" s="5" t="s">
        <v>136</v>
      </c>
      <c r="L541" s="6" t="str">
        <f t="shared" si="79"/>
        <v>5T1</v>
      </c>
      <c r="M541" s="13" t="s">
        <v>1174</v>
      </c>
      <c r="N541" s="7" t="s">
        <v>3588</v>
      </c>
      <c r="O541" s="13" t="s">
        <v>207</v>
      </c>
      <c r="P541" s="115" t="s">
        <v>889</v>
      </c>
      <c r="Q541" s="8"/>
      <c r="R541" s="2">
        <v>2</v>
      </c>
      <c r="S541" s="9">
        <v>700</v>
      </c>
      <c r="T541" s="10">
        <f t="shared" si="77"/>
        <v>700</v>
      </c>
      <c r="U541" s="9">
        <v>30</v>
      </c>
      <c r="V541" s="10">
        <f t="shared" si="78"/>
        <v>670</v>
      </c>
      <c r="W541" s="4" t="s">
        <v>122</v>
      </c>
      <c r="X541" s="2"/>
      <c r="Y541" s="11">
        <v>2</v>
      </c>
      <c r="Z541" s="12">
        <f t="shared" si="80"/>
        <v>0</v>
      </c>
      <c r="AA541" s="4" t="s">
        <v>117</v>
      </c>
      <c r="AC541" s="176">
        <f t="shared" si="76"/>
        <v>2.7272727272727271E-2</v>
      </c>
      <c r="AD541"/>
    </row>
    <row r="542" spans="2:30">
      <c r="B542" s="183">
        <f t="shared" si="81"/>
        <v>16</v>
      </c>
      <c r="C542" s="107" t="str">
        <f t="shared" si="82"/>
        <v>ATK</v>
      </c>
      <c r="D542" s="2" t="s">
        <v>1555</v>
      </c>
      <c r="E542" s="3">
        <v>43935</v>
      </c>
      <c r="F542" s="3">
        <v>43935</v>
      </c>
      <c r="G542" s="108">
        <f t="shared" si="83"/>
        <v>4</v>
      </c>
      <c r="H542" s="108" t="str">
        <f t="shared" si="84"/>
        <v>완료</v>
      </c>
      <c r="I542" s="112" t="s">
        <v>218</v>
      </c>
      <c r="J542" s="4" t="s">
        <v>118</v>
      </c>
      <c r="K542" s="5" t="s">
        <v>137</v>
      </c>
      <c r="L542" s="6" t="str">
        <f t="shared" si="79"/>
        <v>2T2</v>
      </c>
      <c r="M542" s="13"/>
      <c r="N542" s="7" t="s">
        <v>3622</v>
      </c>
      <c r="O542" s="13" t="s">
        <v>1556</v>
      </c>
      <c r="P542" s="115" t="s">
        <v>1557</v>
      </c>
      <c r="Q542" s="8"/>
      <c r="R542" s="2">
        <v>1</v>
      </c>
      <c r="S542" s="9">
        <v>600</v>
      </c>
      <c r="T542" s="10">
        <f t="shared" si="77"/>
        <v>300</v>
      </c>
      <c r="U542" s="9">
        <v>2</v>
      </c>
      <c r="V542" s="10">
        <f t="shared" si="78"/>
        <v>298</v>
      </c>
      <c r="W542" s="4" t="s">
        <v>122</v>
      </c>
      <c r="X542" s="2"/>
      <c r="Y542" s="11">
        <v>1</v>
      </c>
      <c r="Z542" s="12">
        <f t="shared" si="80"/>
        <v>0</v>
      </c>
      <c r="AA542" s="4" t="s">
        <v>117</v>
      </c>
      <c r="AC542" s="176">
        <f t="shared" si="76"/>
        <v>1.8181818181818182E-3</v>
      </c>
      <c r="AD542"/>
    </row>
    <row r="543" spans="2:30">
      <c r="B543" s="183">
        <f t="shared" si="81"/>
        <v>16</v>
      </c>
      <c r="C543" s="107" t="str">
        <f t="shared" si="82"/>
        <v>ATK</v>
      </c>
      <c r="D543" s="2" t="s">
        <v>562</v>
      </c>
      <c r="E543" s="3">
        <v>43937</v>
      </c>
      <c r="F543" s="3">
        <v>43937</v>
      </c>
      <c r="G543" s="108">
        <f t="shared" si="83"/>
        <v>4</v>
      </c>
      <c r="H543" s="108" t="str">
        <f t="shared" si="84"/>
        <v>완료</v>
      </c>
      <c r="I543" s="112" t="s">
        <v>609</v>
      </c>
      <c r="J543" s="4" t="s">
        <v>547</v>
      </c>
      <c r="K543" s="5" t="s">
        <v>548</v>
      </c>
      <c r="L543" s="6" t="str">
        <f t="shared" si="79"/>
        <v>6T2</v>
      </c>
      <c r="M543" s="13" t="s">
        <v>1558</v>
      </c>
      <c r="N543" s="7" t="s">
        <v>3565</v>
      </c>
      <c r="O543" s="13" t="s">
        <v>1559</v>
      </c>
      <c r="P543" s="115" t="s">
        <v>1560</v>
      </c>
      <c r="Q543" s="8"/>
      <c r="R543" s="2">
        <v>1</v>
      </c>
      <c r="S543" s="9">
        <v>1000</v>
      </c>
      <c r="T543" s="10">
        <f t="shared" si="77"/>
        <v>500</v>
      </c>
      <c r="U543" s="9">
        <v>10</v>
      </c>
      <c r="V543" s="10">
        <f t="shared" si="78"/>
        <v>490</v>
      </c>
      <c r="W543" s="4" t="s">
        <v>122</v>
      </c>
      <c r="X543" s="2"/>
      <c r="Y543" s="11">
        <v>5</v>
      </c>
      <c r="Z543" s="12">
        <f t="shared" si="80"/>
        <v>0</v>
      </c>
      <c r="AA543" s="4" t="s">
        <v>212</v>
      </c>
      <c r="AC543" s="176">
        <f t="shared" si="76"/>
        <v>9.0909090909090905E-3</v>
      </c>
      <c r="AD543"/>
    </row>
    <row r="544" spans="2:30">
      <c r="B544" s="183">
        <f t="shared" si="81"/>
        <v>16</v>
      </c>
      <c r="C544" s="107" t="str">
        <f t="shared" si="82"/>
        <v>ATK</v>
      </c>
      <c r="D544" s="2" t="s">
        <v>1561</v>
      </c>
      <c r="E544" s="3">
        <v>43937</v>
      </c>
      <c r="F544" s="3">
        <v>43937</v>
      </c>
      <c r="G544" s="108">
        <f t="shared" si="83"/>
        <v>4</v>
      </c>
      <c r="H544" s="108" t="str">
        <f t="shared" si="84"/>
        <v>완료</v>
      </c>
      <c r="I544" s="112" t="s">
        <v>218</v>
      </c>
      <c r="J544" s="4" t="s">
        <v>118</v>
      </c>
      <c r="K544" s="5" t="s">
        <v>137</v>
      </c>
      <c r="L544" s="6" t="str">
        <f t="shared" si="79"/>
        <v>2T2</v>
      </c>
      <c r="M544" s="13"/>
      <c r="N544" s="7" t="s">
        <v>3512</v>
      </c>
      <c r="O544" s="13" t="s">
        <v>1327</v>
      </c>
      <c r="P544" s="115" t="s">
        <v>1572</v>
      </c>
      <c r="Q544" s="8"/>
      <c r="R544" s="2">
        <v>1</v>
      </c>
      <c r="S544" s="9">
        <v>600</v>
      </c>
      <c r="T544" s="10">
        <f t="shared" si="77"/>
        <v>300</v>
      </c>
      <c r="U544" s="9">
        <v>10</v>
      </c>
      <c r="V544" s="10">
        <f t="shared" si="78"/>
        <v>290</v>
      </c>
      <c r="W544" s="4" t="s">
        <v>4126</v>
      </c>
      <c r="X544" s="2"/>
      <c r="Y544" s="11">
        <v>3</v>
      </c>
      <c r="Z544" s="12">
        <f t="shared" si="80"/>
        <v>0</v>
      </c>
      <c r="AA544" s="4" t="s">
        <v>259</v>
      </c>
      <c r="AC544" s="176">
        <f t="shared" si="76"/>
        <v>9.0909090909090905E-3</v>
      </c>
      <c r="AD544"/>
    </row>
    <row r="545" spans="2:30">
      <c r="B545" s="183">
        <f t="shared" si="81"/>
        <v>16</v>
      </c>
      <c r="C545" s="107" t="str">
        <f t="shared" si="82"/>
        <v>ATK</v>
      </c>
      <c r="D545" s="2" t="s">
        <v>272</v>
      </c>
      <c r="E545" s="3">
        <v>43930</v>
      </c>
      <c r="F545" s="3">
        <v>43937</v>
      </c>
      <c r="G545" s="108">
        <f t="shared" si="83"/>
        <v>4</v>
      </c>
      <c r="H545" s="108" t="str">
        <f t="shared" si="84"/>
        <v>완료</v>
      </c>
      <c r="I545" s="112" t="s">
        <v>218</v>
      </c>
      <c r="J545" s="4" t="s">
        <v>132</v>
      </c>
      <c r="K545" s="5" t="s">
        <v>133</v>
      </c>
      <c r="L545" s="6" t="str">
        <f t="shared" si="79"/>
        <v>3T3</v>
      </c>
      <c r="M545" s="13" t="s">
        <v>879</v>
      </c>
      <c r="N545" s="7" t="s">
        <v>3616</v>
      </c>
      <c r="O545" s="13" t="s">
        <v>897</v>
      </c>
      <c r="P545" s="115" t="s">
        <v>1562</v>
      </c>
      <c r="Q545" s="8" t="s">
        <v>881</v>
      </c>
      <c r="R545" s="2">
        <v>1</v>
      </c>
      <c r="S545" s="9">
        <v>400</v>
      </c>
      <c r="T545" s="10">
        <f t="shared" si="77"/>
        <v>200</v>
      </c>
      <c r="U545" s="9">
        <v>4</v>
      </c>
      <c r="V545" s="10">
        <f t="shared" si="78"/>
        <v>196</v>
      </c>
      <c r="W545" s="4" t="s">
        <v>122</v>
      </c>
      <c r="X545" s="2"/>
      <c r="Y545" s="11">
        <v>4</v>
      </c>
      <c r="Z545" s="12">
        <f t="shared" si="80"/>
        <v>7</v>
      </c>
      <c r="AA545" s="4" t="s">
        <v>120</v>
      </c>
      <c r="AC545" s="176">
        <f t="shared" si="76"/>
        <v>3.6363636363636364E-3</v>
      </c>
      <c r="AD545"/>
    </row>
    <row r="546" spans="2:30">
      <c r="B546" s="183">
        <f t="shared" si="81"/>
        <v>16</v>
      </c>
      <c r="C546" s="107" t="str">
        <f t="shared" si="82"/>
        <v>ATK</v>
      </c>
      <c r="D546" s="2" t="s">
        <v>724</v>
      </c>
      <c r="E546" s="3">
        <v>43937</v>
      </c>
      <c r="F546" s="3">
        <v>43937</v>
      </c>
      <c r="G546" s="108">
        <f t="shared" si="83"/>
        <v>4</v>
      </c>
      <c r="H546" s="108" t="str">
        <f t="shared" si="84"/>
        <v>완료</v>
      </c>
      <c r="I546" s="112" t="s">
        <v>218</v>
      </c>
      <c r="J546" s="4" t="s">
        <v>121</v>
      </c>
      <c r="K546" s="5" t="s">
        <v>136</v>
      </c>
      <c r="L546" s="6" t="str">
        <f t="shared" si="79"/>
        <v>5T1</v>
      </c>
      <c r="M546" s="13" t="s">
        <v>1563</v>
      </c>
      <c r="N546" s="7" t="s">
        <v>3720</v>
      </c>
      <c r="O546" s="13" t="s">
        <v>543</v>
      </c>
      <c r="P546" s="115" t="s">
        <v>1564</v>
      </c>
      <c r="Q546" s="8"/>
      <c r="R546" s="2">
        <v>1</v>
      </c>
      <c r="S546" s="9">
        <v>100</v>
      </c>
      <c r="T546" s="10">
        <f t="shared" si="77"/>
        <v>50</v>
      </c>
      <c r="U546" s="9">
        <v>1</v>
      </c>
      <c r="V546" s="10">
        <f t="shared" si="78"/>
        <v>49</v>
      </c>
      <c r="W546" s="4" t="s">
        <v>122</v>
      </c>
      <c r="X546" s="2"/>
      <c r="Y546" s="11">
        <v>4</v>
      </c>
      <c r="Z546" s="12">
        <f t="shared" si="80"/>
        <v>0</v>
      </c>
      <c r="AA546" s="4" t="s">
        <v>120</v>
      </c>
      <c r="AC546" s="176">
        <f t="shared" si="76"/>
        <v>9.0909090909090909E-4</v>
      </c>
      <c r="AD546"/>
    </row>
    <row r="547" spans="2:30">
      <c r="B547" s="183">
        <f t="shared" si="81"/>
        <v>16</v>
      </c>
      <c r="C547" s="107" t="str">
        <f t="shared" si="82"/>
        <v>ATK</v>
      </c>
      <c r="D547" s="2" t="s">
        <v>1565</v>
      </c>
      <c r="E547" s="3">
        <v>43937</v>
      </c>
      <c r="F547" s="3">
        <v>43937</v>
      </c>
      <c r="G547" s="108">
        <f t="shared" si="83"/>
        <v>4</v>
      </c>
      <c r="H547" s="108" t="str">
        <f t="shared" si="84"/>
        <v>완료</v>
      </c>
      <c r="I547" s="112" t="s">
        <v>218</v>
      </c>
      <c r="J547" s="4" t="s">
        <v>127</v>
      </c>
      <c r="K547" s="5" t="s">
        <v>135</v>
      </c>
      <c r="L547" s="6" t="str">
        <f t="shared" si="79"/>
        <v>1T3</v>
      </c>
      <c r="M547" s="13" t="s">
        <v>256</v>
      </c>
      <c r="N547" s="7" t="s">
        <v>3527</v>
      </c>
      <c r="O547" s="13" t="s">
        <v>1566</v>
      </c>
      <c r="P547" s="115" t="s">
        <v>1567</v>
      </c>
      <c r="Q547" s="8" t="s">
        <v>1568</v>
      </c>
      <c r="R547" s="2">
        <v>1</v>
      </c>
      <c r="S547" s="9">
        <v>3500</v>
      </c>
      <c r="T547" s="10">
        <f t="shared" si="77"/>
        <v>1750</v>
      </c>
      <c r="U547" s="9"/>
      <c r="V547" s="10">
        <f t="shared" si="78"/>
        <v>1750</v>
      </c>
      <c r="W547" s="4" t="s">
        <v>122</v>
      </c>
      <c r="X547" s="2"/>
      <c r="Y547" s="11">
        <v>4</v>
      </c>
      <c r="Z547" s="12">
        <f t="shared" si="80"/>
        <v>0</v>
      </c>
      <c r="AA547" s="4" t="s">
        <v>259</v>
      </c>
      <c r="AC547" s="176">
        <f t="shared" si="76"/>
        <v>0</v>
      </c>
      <c r="AD547"/>
    </row>
    <row r="548" spans="2:30">
      <c r="B548" s="183">
        <f t="shared" si="81"/>
        <v>16</v>
      </c>
      <c r="C548" s="107" t="str">
        <f t="shared" si="82"/>
        <v>ATK</v>
      </c>
      <c r="D548" s="2" t="s">
        <v>463</v>
      </c>
      <c r="E548" s="3">
        <v>43937</v>
      </c>
      <c r="F548" s="3">
        <v>43937</v>
      </c>
      <c r="G548" s="108">
        <f t="shared" si="83"/>
        <v>4</v>
      </c>
      <c r="H548" s="108" t="str">
        <f t="shared" si="84"/>
        <v>완료</v>
      </c>
      <c r="I548" s="112" t="s">
        <v>218</v>
      </c>
      <c r="J548" s="4" t="s">
        <v>121</v>
      </c>
      <c r="K548" s="5" t="s">
        <v>136</v>
      </c>
      <c r="L548" s="6" t="str">
        <f t="shared" si="79"/>
        <v>5T1</v>
      </c>
      <c r="M548" s="13" t="s">
        <v>1569</v>
      </c>
      <c r="N548" s="7" t="s">
        <v>3721</v>
      </c>
      <c r="O548" s="7" t="s">
        <v>1570</v>
      </c>
      <c r="P548" s="115" t="s">
        <v>1571</v>
      </c>
      <c r="Q548" s="8"/>
      <c r="R548" s="2">
        <v>1</v>
      </c>
      <c r="S548" s="9">
        <v>1000</v>
      </c>
      <c r="T548" s="10">
        <f t="shared" si="77"/>
        <v>500</v>
      </c>
      <c r="U548" s="9"/>
      <c r="V548" s="10">
        <f t="shared" si="78"/>
        <v>500</v>
      </c>
      <c r="W548" s="4" t="s">
        <v>122</v>
      </c>
      <c r="X548" s="2"/>
      <c r="Y548" s="11">
        <v>3</v>
      </c>
      <c r="Z548" s="12">
        <f t="shared" si="80"/>
        <v>0</v>
      </c>
      <c r="AA548" s="4" t="s">
        <v>212</v>
      </c>
      <c r="AC548" s="176">
        <f t="shared" si="76"/>
        <v>0</v>
      </c>
      <c r="AD548"/>
    </row>
    <row r="549" spans="2:30">
      <c r="B549" s="183">
        <f t="shared" si="81"/>
        <v>20</v>
      </c>
      <c r="C549" s="107" t="str">
        <f t="shared" si="82"/>
        <v>ATEP</v>
      </c>
      <c r="D549" s="2" t="s">
        <v>1573</v>
      </c>
      <c r="E549" s="3">
        <v>43937</v>
      </c>
      <c r="F549" s="3">
        <v>43964</v>
      </c>
      <c r="G549" s="108">
        <f t="shared" si="83"/>
        <v>5</v>
      </c>
      <c r="H549" s="108" t="str">
        <f t="shared" si="84"/>
        <v>완료</v>
      </c>
      <c r="I549" s="112" t="s">
        <v>514</v>
      </c>
      <c r="J549" s="4" t="s">
        <v>106</v>
      </c>
      <c r="K549" s="5" t="s">
        <v>106</v>
      </c>
      <c r="L549" s="6" t="str">
        <f t="shared" si="79"/>
        <v>ATE</v>
      </c>
      <c r="M549" s="13" t="s">
        <v>1574</v>
      </c>
      <c r="N549" s="7" t="s">
        <v>3722</v>
      </c>
      <c r="O549" s="13" t="s">
        <v>1576</v>
      </c>
      <c r="P549" s="115"/>
      <c r="Q549" s="8" t="s">
        <v>1577</v>
      </c>
      <c r="R549" s="2">
        <v>1</v>
      </c>
      <c r="S549" s="9">
        <v>9257</v>
      </c>
      <c r="T549" s="10">
        <f t="shared" si="77"/>
        <v>4628.5</v>
      </c>
      <c r="U549" s="9">
        <v>1200</v>
      </c>
      <c r="V549" s="10">
        <f t="shared" si="78"/>
        <v>3428.5</v>
      </c>
      <c r="W549" s="4" t="s">
        <v>123</v>
      </c>
      <c r="X549" s="2" t="s">
        <v>124</v>
      </c>
      <c r="Y549" s="11">
        <v>2</v>
      </c>
      <c r="Z549" s="12">
        <f t="shared" si="80"/>
        <v>27</v>
      </c>
      <c r="AA549" s="4" t="s">
        <v>117</v>
      </c>
      <c r="AC549" s="176">
        <f t="shared" si="76"/>
        <v>1.0909090909090908</v>
      </c>
      <c r="AD549"/>
    </row>
    <row r="550" spans="2:30">
      <c r="B550" s="183">
        <f t="shared" si="81"/>
        <v>20</v>
      </c>
      <c r="C550" s="107" t="str">
        <f t="shared" si="82"/>
        <v>ATEP</v>
      </c>
      <c r="D550" s="2" t="s">
        <v>1573</v>
      </c>
      <c r="E550" s="3">
        <v>43937</v>
      </c>
      <c r="F550" s="3">
        <v>43964</v>
      </c>
      <c r="G550" s="108">
        <f t="shared" si="83"/>
        <v>5</v>
      </c>
      <c r="H550" s="108" t="str">
        <f t="shared" si="84"/>
        <v>완료</v>
      </c>
      <c r="I550" s="112" t="s">
        <v>514</v>
      </c>
      <c r="J550" s="4" t="s">
        <v>106</v>
      </c>
      <c r="K550" s="5" t="s">
        <v>106</v>
      </c>
      <c r="L550" s="6" t="str">
        <f t="shared" si="79"/>
        <v>ATE</v>
      </c>
      <c r="M550" s="13" t="s">
        <v>1574</v>
      </c>
      <c r="N550" s="7" t="s">
        <v>3722</v>
      </c>
      <c r="O550" s="13" t="s">
        <v>1575</v>
      </c>
      <c r="P550" s="115"/>
      <c r="Q550" s="8" t="s">
        <v>1578</v>
      </c>
      <c r="R550" s="2">
        <v>1</v>
      </c>
      <c r="S550" s="9">
        <v>9257</v>
      </c>
      <c r="T550" s="10">
        <f t="shared" si="77"/>
        <v>4628.5</v>
      </c>
      <c r="U550" s="9">
        <v>1200</v>
      </c>
      <c r="V550" s="10">
        <f t="shared" si="78"/>
        <v>3428.5</v>
      </c>
      <c r="W550" s="4" t="s">
        <v>123</v>
      </c>
      <c r="X550" s="2" t="s">
        <v>124</v>
      </c>
      <c r="Y550" s="11">
        <v>2</v>
      </c>
      <c r="Z550" s="12">
        <f t="shared" si="80"/>
        <v>27</v>
      </c>
      <c r="AA550" s="4" t="s">
        <v>117</v>
      </c>
      <c r="AC550" s="176">
        <f t="shared" si="76"/>
        <v>1.0909090909090908</v>
      </c>
      <c r="AD550"/>
    </row>
    <row r="551" spans="2:30">
      <c r="B551" s="183">
        <f t="shared" si="81"/>
        <v>20</v>
      </c>
      <c r="C551" s="107" t="str">
        <f t="shared" si="82"/>
        <v>ATEP</v>
      </c>
      <c r="D551" s="2" t="s">
        <v>1573</v>
      </c>
      <c r="E551" s="3">
        <v>43937</v>
      </c>
      <c r="F551" s="3">
        <v>43964</v>
      </c>
      <c r="G551" s="108">
        <f t="shared" si="83"/>
        <v>5</v>
      </c>
      <c r="H551" s="108" t="str">
        <f t="shared" si="84"/>
        <v>완료</v>
      </c>
      <c r="I551" s="112" t="s">
        <v>514</v>
      </c>
      <c r="J551" s="4" t="s">
        <v>106</v>
      </c>
      <c r="K551" s="5" t="s">
        <v>106</v>
      </c>
      <c r="L551" s="6" t="str">
        <f t="shared" si="79"/>
        <v>ATE</v>
      </c>
      <c r="M551" s="13" t="s">
        <v>1574</v>
      </c>
      <c r="N551" s="7" t="s">
        <v>3722</v>
      </c>
      <c r="O551" s="13" t="s">
        <v>1575</v>
      </c>
      <c r="P551" s="115"/>
      <c r="Q551" s="8" t="s">
        <v>1577</v>
      </c>
      <c r="R551" s="2">
        <v>1</v>
      </c>
      <c r="S551" s="9">
        <v>9257</v>
      </c>
      <c r="T551" s="10">
        <f t="shared" si="77"/>
        <v>4628.5</v>
      </c>
      <c r="U551" s="9">
        <v>1200</v>
      </c>
      <c r="V551" s="10">
        <f t="shared" si="78"/>
        <v>3428.5</v>
      </c>
      <c r="W551" s="4" t="s">
        <v>123</v>
      </c>
      <c r="X551" s="2" t="s">
        <v>124</v>
      </c>
      <c r="Y551" s="11">
        <v>2</v>
      </c>
      <c r="Z551" s="12">
        <f t="shared" si="80"/>
        <v>27</v>
      </c>
      <c r="AA551" s="4" t="s">
        <v>117</v>
      </c>
      <c r="AC551" s="176">
        <f t="shared" si="76"/>
        <v>1.0909090909090908</v>
      </c>
      <c r="AD551"/>
    </row>
    <row r="552" spans="2:30">
      <c r="B552" s="183">
        <f t="shared" si="81"/>
        <v>16</v>
      </c>
      <c r="C552" s="107" t="str">
        <f t="shared" si="82"/>
        <v>ATK</v>
      </c>
      <c r="D552" s="2" t="s">
        <v>463</v>
      </c>
      <c r="E552" s="3">
        <v>43938</v>
      </c>
      <c r="F552" s="3">
        <v>43938</v>
      </c>
      <c r="G552" s="108">
        <f t="shared" si="83"/>
        <v>4</v>
      </c>
      <c r="H552" s="108" t="str">
        <f t="shared" si="84"/>
        <v>완료</v>
      </c>
      <c r="I552" s="112" t="s">
        <v>218</v>
      </c>
      <c r="J552" s="4" t="s">
        <v>121</v>
      </c>
      <c r="K552" s="5" t="s">
        <v>136</v>
      </c>
      <c r="L552" s="6" t="str">
        <f t="shared" si="79"/>
        <v>5T1</v>
      </c>
      <c r="M552" s="13" t="s">
        <v>462</v>
      </c>
      <c r="N552" s="7" t="s">
        <v>3723</v>
      </c>
      <c r="O552" s="7" t="s">
        <v>207</v>
      </c>
      <c r="P552" s="115"/>
      <c r="Q552" s="8"/>
      <c r="R552" s="2">
        <v>1</v>
      </c>
      <c r="S552" s="9">
        <v>3000</v>
      </c>
      <c r="T552" s="10">
        <f t="shared" si="77"/>
        <v>1500</v>
      </c>
      <c r="U552" s="9">
        <v>1</v>
      </c>
      <c r="V552" s="10">
        <f t="shared" si="78"/>
        <v>1499</v>
      </c>
      <c r="W552" s="4" t="s">
        <v>122</v>
      </c>
      <c r="X552" s="2"/>
      <c r="Y552" s="11">
        <v>1</v>
      </c>
      <c r="Z552" s="12">
        <f t="shared" si="80"/>
        <v>0</v>
      </c>
      <c r="AA552" s="4" t="s">
        <v>117</v>
      </c>
      <c r="AC552" s="176">
        <f t="shared" si="76"/>
        <v>9.0909090909090909E-4</v>
      </c>
      <c r="AD552"/>
    </row>
    <row r="553" spans="2:30">
      <c r="B553" s="183">
        <f t="shared" si="81"/>
        <v>16</v>
      </c>
      <c r="C553" s="107" t="str">
        <f t="shared" si="82"/>
        <v>ATK</v>
      </c>
      <c r="D553" s="2" t="s">
        <v>1579</v>
      </c>
      <c r="E553" s="3">
        <v>43935</v>
      </c>
      <c r="F553" s="3">
        <v>43935</v>
      </c>
      <c r="G553" s="108">
        <f t="shared" si="83"/>
        <v>4</v>
      </c>
      <c r="H553" s="108" t="str">
        <f t="shared" si="84"/>
        <v>완료</v>
      </c>
      <c r="I553" s="112" t="s">
        <v>218</v>
      </c>
      <c r="J553" s="4" t="s">
        <v>121</v>
      </c>
      <c r="K553" s="5" t="s">
        <v>136</v>
      </c>
      <c r="L553" s="6" t="str">
        <f t="shared" si="79"/>
        <v>5T1</v>
      </c>
      <c r="M553" s="13" t="s">
        <v>462</v>
      </c>
      <c r="N553" s="7" t="s">
        <v>3724</v>
      </c>
      <c r="O553" s="13" t="s">
        <v>339</v>
      </c>
      <c r="P553" s="115"/>
      <c r="Q553" s="8"/>
      <c r="R553" s="2">
        <v>1</v>
      </c>
      <c r="S553" s="9">
        <v>1500</v>
      </c>
      <c r="T553" s="10">
        <f t="shared" si="77"/>
        <v>750</v>
      </c>
      <c r="U553" s="9">
        <v>0</v>
      </c>
      <c r="V553" s="10">
        <f t="shared" si="78"/>
        <v>750</v>
      </c>
      <c r="W553" s="4" t="s">
        <v>122</v>
      </c>
      <c r="X553" s="2"/>
      <c r="Y553" s="11">
        <v>3</v>
      </c>
      <c r="Z553" s="12">
        <f t="shared" si="80"/>
        <v>0</v>
      </c>
      <c r="AA553" s="4" t="s">
        <v>117</v>
      </c>
      <c r="AC553" s="176">
        <f t="shared" si="76"/>
        <v>0</v>
      </c>
      <c r="AD553"/>
    </row>
    <row r="554" spans="2:30">
      <c r="B554" s="183">
        <f t="shared" si="81"/>
        <v>16</v>
      </c>
      <c r="C554" s="107" t="str">
        <f t="shared" si="82"/>
        <v>ATK</v>
      </c>
      <c r="D554" s="2" t="s">
        <v>255</v>
      </c>
      <c r="E554" s="3">
        <v>43938</v>
      </c>
      <c r="F554" s="3">
        <v>43938</v>
      </c>
      <c r="G554" s="108">
        <f t="shared" si="83"/>
        <v>4</v>
      </c>
      <c r="H554" s="108" t="str">
        <f t="shared" si="84"/>
        <v>완료</v>
      </c>
      <c r="I554" s="112" t="s">
        <v>218</v>
      </c>
      <c r="J554" s="4" t="s">
        <v>808</v>
      </c>
      <c r="K554" s="5" t="s">
        <v>833</v>
      </c>
      <c r="L554" s="6" t="str">
        <f t="shared" si="79"/>
        <v>1T3</v>
      </c>
      <c r="M554" s="13" t="s">
        <v>256</v>
      </c>
      <c r="N554" s="7" t="s">
        <v>3529</v>
      </c>
      <c r="O554" s="13" t="s">
        <v>1402</v>
      </c>
      <c r="P554" s="115" t="s">
        <v>330</v>
      </c>
      <c r="Q554" s="8"/>
      <c r="R554" s="2">
        <v>1</v>
      </c>
      <c r="S554" s="9">
        <v>3500</v>
      </c>
      <c r="T554" s="10">
        <f t="shared" si="77"/>
        <v>1750</v>
      </c>
      <c r="U554" s="9">
        <v>0</v>
      </c>
      <c r="V554" s="10">
        <f t="shared" si="78"/>
        <v>1750</v>
      </c>
      <c r="W554" s="4" t="s">
        <v>122</v>
      </c>
      <c r="X554" s="2"/>
      <c r="Y554" s="11">
        <v>2</v>
      </c>
      <c r="Z554" s="12">
        <f t="shared" si="80"/>
        <v>0</v>
      </c>
      <c r="AA554" s="4" t="s">
        <v>27</v>
      </c>
      <c r="AC554" s="176">
        <f t="shared" si="76"/>
        <v>0</v>
      </c>
      <c r="AD554"/>
    </row>
    <row r="555" spans="2:30">
      <c r="B555" s="183">
        <f t="shared" si="81"/>
        <v>17</v>
      </c>
      <c r="C555" s="107" t="str">
        <f t="shared" si="82"/>
        <v>ATK</v>
      </c>
      <c r="D555" s="2" t="s">
        <v>845</v>
      </c>
      <c r="E555" s="3">
        <v>43935</v>
      </c>
      <c r="F555" s="3">
        <v>43942</v>
      </c>
      <c r="G555" s="108">
        <f t="shared" si="83"/>
        <v>4</v>
      </c>
      <c r="H555" s="108" t="str">
        <f t="shared" si="84"/>
        <v>완료</v>
      </c>
      <c r="I555" s="112" t="s">
        <v>218</v>
      </c>
      <c r="J555" s="4" t="s">
        <v>132</v>
      </c>
      <c r="K555" s="5" t="s">
        <v>133</v>
      </c>
      <c r="L555" s="6" t="str">
        <f t="shared" si="79"/>
        <v>3T3</v>
      </c>
      <c r="M555" s="13" t="s">
        <v>1582</v>
      </c>
      <c r="N555" s="7" t="s">
        <v>3725</v>
      </c>
      <c r="O555" s="13" t="s">
        <v>1581</v>
      </c>
      <c r="P555" s="115" t="s">
        <v>330</v>
      </c>
      <c r="Q555" s="8"/>
      <c r="R555" s="2">
        <v>1</v>
      </c>
      <c r="S555" s="9">
        <v>7000</v>
      </c>
      <c r="T555" s="10">
        <f t="shared" si="77"/>
        <v>3500</v>
      </c>
      <c r="U555" s="9">
        <v>50</v>
      </c>
      <c r="V555" s="10">
        <f t="shared" si="78"/>
        <v>3450</v>
      </c>
      <c r="W555" s="4" t="s">
        <v>122</v>
      </c>
      <c r="X555" s="2"/>
      <c r="Y555" s="11">
        <v>12</v>
      </c>
      <c r="Z555" s="12">
        <f t="shared" si="80"/>
        <v>7</v>
      </c>
      <c r="AA555" s="4" t="s">
        <v>27</v>
      </c>
      <c r="AC555" s="176">
        <f t="shared" si="76"/>
        <v>4.5454545454545456E-2</v>
      </c>
      <c r="AD555"/>
    </row>
    <row r="556" spans="2:30">
      <c r="B556" s="183">
        <f t="shared" si="81"/>
        <v>17</v>
      </c>
      <c r="C556" s="107" t="str">
        <f t="shared" si="82"/>
        <v>ATK</v>
      </c>
      <c r="D556" s="2" t="s">
        <v>1583</v>
      </c>
      <c r="E556" s="3">
        <v>43938</v>
      </c>
      <c r="F556" s="3">
        <v>43941</v>
      </c>
      <c r="G556" s="108">
        <f t="shared" si="83"/>
        <v>4</v>
      </c>
      <c r="H556" s="108" t="str">
        <f t="shared" si="84"/>
        <v>완료</v>
      </c>
      <c r="I556" s="112" t="s">
        <v>218</v>
      </c>
      <c r="J556" s="4" t="s">
        <v>127</v>
      </c>
      <c r="K556" s="5" t="s">
        <v>135</v>
      </c>
      <c r="L556" s="6" t="str">
        <f t="shared" si="79"/>
        <v>1T3</v>
      </c>
      <c r="M556" s="13" t="s">
        <v>256</v>
      </c>
      <c r="N556" s="7" t="s">
        <v>3527</v>
      </c>
      <c r="O556" s="13" t="s">
        <v>618</v>
      </c>
      <c r="P556" s="115" t="s">
        <v>1586</v>
      </c>
      <c r="Q556" s="8"/>
      <c r="R556" s="2">
        <v>1</v>
      </c>
      <c r="S556" s="9">
        <v>2500</v>
      </c>
      <c r="T556" s="10">
        <f t="shared" si="77"/>
        <v>1250</v>
      </c>
      <c r="U556" s="9">
        <v>20</v>
      </c>
      <c r="V556" s="10">
        <f t="shared" si="78"/>
        <v>1230</v>
      </c>
      <c r="W556" s="4" t="s">
        <v>249</v>
      </c>
      <c r="X556" s="2"/>
      <c r="Y556" s="11">
        <v>4</v>
      </c>
      <c r="Z556" s="12">
        <f t="shared" si="80"/>
        <v>3</v>
      </c>
      <c r="AA556" s="4" t="s">
        <v>1589</v>
      </c>
      <c r="AC556" s="176">
        <f t="shared" si="76"/>
        <v>1.8181818181818181E-2</v>
      </c>
      <c r="AD556"/>
    </row>
    <row r="557" spans="2:30">
      <c r="B557" s="183">
        <f t="shared" si="81"/>
        <v>17</v>
      </c>
      <c r="C557" s="107" t="str">
        <f t="shared" si="82"/>
        <v>ATK</v>
      </c>
      <c r="D557" s="2" t="s">
        <v>504</v>
      </c>
      <c r="E557" s="3">
        <v>43938</v>
      </c>
      <c r="F557" s="3">
        <v>43941</v>
      </c>
      <c r="G557" s="108">
        <f t="shared" si="83"/>
        <v>4</v>
      </c>
      <c r="H557" s="108" t="str">
        <f t="shared" si="84"/>
        <v>완료</v>
      </c>
      <c r="I557" s="112" t="s">
        <v>218</v>
      </c>
      <c r="J557" s="4" t="s">
        <v>281</v>
      </c>
      <c r="K557" s="5" t="s">
        <v>332</v>
      </c>
      <c r="L557" s="6" t="str">
        <f t="shared" si="79"/>
        <v>EE2</v>
      </c>
      <c r="M557" s="13" t="s">
        <v>256</v>
      </c>
      <c r="N557" s="7" t="s">
        <v>3529</v>
      </c>
      <c r="O557" s="13" t="s">
        <v>1584</v>
      </c>
      <c r="P557" s="115" t="s">
        <v>1585</v>
      </c>
      <c r="Q557" s="8"/>
      <c r="R557" s="2">
        <v>1</v>
      </c>
      <c r="S557" s="9">
        <v>3500</v>
      </c>
      <c r="T557" s="10">
        <f t="shared" si="77"/>
        <v>1750</v>
      </c>
      <c r="U557" s="9">
        <v>0</v>
      </c>
      <c r="V557" s="10">
        <f t="shared" si="78"/>
        <v>1750</v>
      </c>
      <c r="W557" s="4" t="s">
        <v>249</v>
      </c>
      <c r="X557" s="2"/>
      <c r="Y557" s="11">
        <v>2</v>
      </c>
      <c r="Z557" s="12">
        <f t="shared" si="80"/>
        <v>3</v>
      </c>
      <c r="AA557" s="4" t="s">
        <v>27</v>
      </c>
      <c r="AC557" s="176">
        <f t="shared" si="76"/>
        <v>0</v>
      </c>
      <c r="AD557"/>
    </row>
    <row r="558" spans="2:30">
      <c r="B558" s="183">
        <f t="shared" si="81"/>
        <v>17</v>
      </c>
      <c r="C558" s="107" t="str">
        <f t="shared" si="82"/>
        <v>ATK</v>
      </c>
      <c r="D558" s="2" t="s">
        <v>255</v>
      </c>
      <c r="E558" s="3">
        <v>43938</v>
      </c>
      <c r="F558" s="3">
        <v>43941</v>
      </c>
      <c r="G558" s="108">
        <f t="shared" si="83"/>
        <v>4</v>
      </c>
      <c r="H558" s="108" t="str">
        <f t="shared" si="84"/>
        <v>완료</v>
      </c>
      <c r="I558" s="112" t="s">
        <v>218</v>
      </c>
      <c r="J558" s="4" t="s">
        <v>127</v>
      </c>
      <c r="K558" s="5" t="s">
        <v>135</v>
      </c>
      <c r="L558" s="6" t="str">
        <f t="shared" si="79"/>
        <v>1T3</v>
      </c>
      <c r="M558" s="13" t="s">
        <v>256</v>
      </c>
      <c r="N558" s="7" t="s">
        <v>3527</v>
      </c>
      <c r="O558" s="13" t="s">
        <v>618</v>
      </c>
      <c r="P558" s="115" t="s">
        <v>1587</v>
      </c>
      <c r="Q558" s="8"/>
      <c r="R558" s="2">
        <v>1</v>
      </c>
      <c r="S558" s="9">
        <v>2500</v>
      </c>
      <c r="T558" s="10">
        <f t="shared" si="77"/>
        <v>1250</v>
      </c>
      <c r="U558" s="9">
        <v>20</v>
      </c>
      <c r="V558" s="10">
        <f t="shared" si="78"/>
        <v>1230</v>
      </c>
      <c r="W558" s="4" t="s">
        <v>249</v>
      </c>
      <c r="X558" s="2"/>
      <c r="Y558" s="11">
        <v>4</v>
      </c>
      <c r="Z558" s="12">
        <f t="shared" si="80"/>
        <v>3</v>
      </c>
      <c r="AA558" s="4" t="s">
        <v>1588</v>
      </c>
      <c r="AC558" s="176">
        <f t="shared" si="76"/>
        <v>1.8181818181818181E-2</v>
      </c>
      <c r="AD558"/>
    </row>
    <row r="559" spans="2:30">
      <c r="B559" s="183">
        <f t="shared" si="81"/>
        <v>17</v>
      </c>
      <c r="C559" s="107" t="str">
        <f t="shared" si="82"/>
        <v>ATK</v>
      </c>
      <c r="D559" s="2" t="s">
        <v>1590</v>
      </c>
      <c r="E559" s="3">
        <v>43941</v>
      </c>
      <c r="F559" s="3">
        <v>43941</v>
      </c>
      <c r="G559" s="108">
        <f t="shared" si="83"/>
        <v>4</v>
      </c>
      <c r="H559" s="108" t="str">
        <f t="shared" si="84"/>
        <v>완료</v>
      </c>
      <c r="I559" s="112" t="s">
        <v>218</v>
      </c>
      <c r="J559" s="4" t="s">
        <v>127</v>
      </c>
      <c r="K559" s="5" t="s">
        <v>131</v>
      </c>
      <c r="L559" s="6" t="str">
        <f t="shared" si="79"/>
        <v>1T4</v>
      </c>
      <c r="M559" s="13" t="s">
        <v>994</v>
      </c>
      <c r="N559" s="7" t="s">
        <v>3546</v>
      </c>
      <c r="O559" s="13" t="s">
        <v>1032</v>
      </c>
      <c r="P559" s="115"/>
      <c r="Q559" s="8"/>
      <c r="R559" s="2">
        <v>1</v>
      </c>
      <c r="S559" s="9">
        <v>400</v>
      </c>
      <c r="T559" s="10">
        <f t="shared" si="77"/>
        <v>200</v>
      </c>
      <c r="U559" s="9">
        <v>3</v>
      </c>
      <c r="V559" s="10">
        <f t="shared" si="78"/>
        <v>197</v>
      </c>
      <c r="W559" s="4" t="s">
        <v>122</v>
      </c>
      <c r="X559" s="2"/>
      <c r="Y559" s="11">
        <v>1</v>
      </c>
      <c r="Z559" s="12">
        <f t="shared" si="80"/>
        <v>0</v>
      </c>
      <c r="AA559" s="4" t="s">
        <v>117</v>
      </c>
      <c r="AC559" s="176">
        <f t="shared" si="76"/>
        <v>2.7272727272727275E-3</v>
      </c>
      <c r="AD559"/>
    </row>
    <row r="560" spans="2:30">
      <c r="B560" s="183">
        <f t="shared" si="81"/>
        <v>17</v>
      </c>
      <c r="C560" s="107" t="str">
        <f t="shared" si="82"/>
        <v>ATK</v>
      </c>
      <c r="D560" s="2" t="s">
        <v>1591</v>
      </c>
      <c r="E560" s="3">
        <v>43941</v>
      </c>
      <c r="F560" s="3">
        <v>43941</v>
      </c>
      <c r="G560" s="108">
        <f t="shared" si="83"/>
        <v>4</v>
      </c>
      <c r="H560" s="108" t="str">
        <f t="shared" si="84"/>
        <v>완료</v>
      </c>
      <c r="I560" s="112" t="s">
        <v>218</v>
      </c>
      <c r="J560" s="4" t="s">
        <v>118</v>
      </c>
      <c r="K560" s="5" t="s">
        <v>134</v>
      </c>
      <c r="L560" s="6" t="str">
        <f t="shared" si="79"/>
        <v>2T1</v>
      </c>
      <c r="M560" s="13" t="s">
        <v>454</v>
      </c>
      <c r="N560" s="7" t="s">
        <v>140</v>
      </c>
      <c r="O560" s="13" t="s">
        <v>286</v>
      </c>
      <c r="P560" s="115"/>
      <c r="Q560" s="8"/>
      <c r="R560" s="2">
        <v>1</v>
      </c>
      <c r="S560" s="9">
        <v>400</v>
      </c>
      <c r="T560" s="10">
        <f t="shared" si="77"/>
        <v>200</v>
      </c>
      <c r="U560" s="9">
        <v>2</v>
      </c>
      <c r="V560" s="10">
        <f t="shared" si="78"/>
        <v>198</v>
      </c>
      <c r="W560" s="4" t="s">
        <v>122</v>
      </c>
      <c r="X560" s="2"/>
      <c r="Y560" s="11">
        <v>1</v>
      </c>
      <c r="Z560" s="12">
        <f t="shared" si="80"/>
        <v>0</v>
      </c>
      <c r="AA560" s="4" t="s">
        <v>117</v>
      </c>
      <c r="AC560" s="176">
        <f t="shared" si="76"/>
        <v>1.8181818181818182E-3</v>
      </c>
      <c r="AD560"/>
    </row>
    <row r="561" spans="2:30">
      <c r="B561" s="183">
        <f t="shared" si="81"/>
        <v>17</v>
      </c>
      <c r="C561" s="107" t="str">
        <f t="shared" si="82"/>
        <v>ATK</v>
      </c>
      <c r="D561" s="2" t="s">
        <v>1592</v>
      </c>
      <c r="E561" s="3">
        <v>43941</v>
      </c>
      <c r="F561" s="3">
        <v>43941</v>
      </c>
      <c r="G561" s="108">
        <f t="shared" si="83"/>
        <v>4</v>
      </c>
      <c r="H561" s="108" t="str">
        <f t="shared" si="84"/>
        <v>완료</v>
      </c>
      <c r="I561" s="112" t="s">
        <v>218</v>
      </c>
      <c r="J561" s="4" t="s">
        <v>118</v>
      </c>
      <c r="K561" s="5" t="s">
        <v>119</v>
      </c>
      <c r="L561" s="6" t="str">
        <f t="shared" si="79"/>
        <v>2T3</v>
      </c>
      <c r="M561" s="13" t="s">
        <v>1593</v>
      </c>
      <c r="N561" s="7" t="s">
        <v>3726</v>
      </c>
      <c r="O561" s="13" t="s">
        <v>1594</v>
      </c>
      <c r="P561" s="115" t="s">
        <v>1595</v>
      </c>
      <c r="Q561" s="8"/>
      <c r="R561" s="2">
        <v>2</v>
      </c>
      <c r="S561" s="9">
        <v>600</v>
      </c>
      <c r="T561" s="10">
        <f t="shared" si="77"/>
        <v>600</v>
      </c>
      <c r="U561" s="9">
        <v>10</v>
      </c>
      <c r="V561" s="10">
        <f t="shared" si="78"/>
        <v>590</v>
      </c>
      <c r="W561" s="4" t="s">
        <v>122</v>
      </c>
      <c r="X561" s="2"/>
      <c r="Y561" s="11">
        <v>4</v>
      </c>
      <c r="Z561" s="12">
        <f t="shared" si="80"/>
        <v>0</v>
      </c>
      <c r="AA561" s="4" t="s">
        <v>259</v>
      </c>
      <c r="AC561" s="176">
        <f t="shared" si="76"/>
        <v>9.0909090909090905E-3</v>
      </c>
      <c r="AD561"/>
    </row>
    <row r="562" spans="2:30">
      <c r="B562" s="183">
        <f t="shared" si="81"/>
        <v>17</v>
      </c>
      <c r="C562" s="107" t="str">
        <f t="shared" si="82"/>
        <v>ATK</v>
      </c>
      <c r="D562" s="2" t="s">
        <v>1596</v>
      </c>
      <c r="E562" s="3">
        <v>43941</v>
      </c>
      <c r="F562" s="3">
        <v>43941</v>
      </c>
      <c r="G562" s="108">
        <f t="shared" si="83"/>
        <v>4</v>
      </c>
      <c r="H562" s="108" t="str">
        <f t="shared" si="84"/>
        <v>완료</v>
      </c>
      <c r="I562" s="112" t="s">
        <v>218</v>
      </c>
      <c r="J562" s="4" t="s">
        <v>118</v>
      </c>
      <c r="K562" s="5" t="s">
        <v>137</v>
      </c>
      <c r="L562" s="6" t="str">
        <f t="shared" si="79"/>
        <v>2T2</v>
      </c>
      <c r="M562" s="13" t="s">
        <v>256</v>
      </c>
      <c r="N562" s="7" t="s">
        <v>3506</v>
      </c>
      <c r="O562" s="7" t="s">
        <v>362</v>
      </c>
      <c r="P562" s="115"/>
      <c r="Q562" s="8"/>
      <c r="R562" s="2">
        <v>2</v>
      </c>
      <c r="S562" s="9">
        <v>500</v>
      </c>
      <c r="T562" s="10">
        <f t="shared" si="77"/>
        <v>500</v>
      </c>
      <c r="U562" s="9">
        <v>160</v>
      </c>
      <c r="V562" s="10">
        <f t="shared" si="78"/>
        <v>340</v>
      </c>
      <c r="W562" s="4" t="s">
        <v>122</v>
      </c>
      <c r="X562" s="2"/>
      <c r="Y562" s="11">
        <v>1</v>
      </c>
      <c r="Z562" s="12">
        <f t="shared" si="80"/>
        <v>0</v>
      </c>
      <c r="AA562" s="4" t="s">
        <v>117</v>
      </c>
      <c r="AC562" s="176">
        <f t="shared" si="76"/>
        <v>0.14545454545454545</v>
      </c>
      <c r="AD562"/>
    </row>
    <row r="563" spans="2:30">
      <c r="B563" s="183">
        <f t="shared" si="81"/>
        <v>17</v>
      </c>
      <c r="C563" s="107" t="str">
        <f t="shared" si="82"/>
        <v>ATK</v>
      </c>
      <c r="D563" s="2" t="s">
        <v>1073</v>
      </c>
      <c r="E563" s="3">
        <v>43900</v>
      </c>
      <c r="F563" s="3">
        <v>43941</v>
      </c>
      <c r="G563" s="108">
        <f t="shared" si="83"/>
        <v>4</v>
      </c>
      <c r="H563" s="108" t="str">
        <f t="shared" si="84"/>
        <v>완료</v>
      </c>
      <c r="I563" s="112" t="s">
        <v>218</v>
      </c>
      <c r="J563" s="4" t="s">
        <v>139</v>
      </c>
      <c r="K563" s="5" t="s">
        <v>177</v>
      </c>
      <c r="L563" s="6" t="str">
        <f t="shared" si="79"/>
        <v>Bum</v>
      </c>
      <c r="M563" s="13" t="s">
        <v>354</v>
      </c>
      <c r="N563" s="7" t="s">
        <v>3727</v>
      </c>
      <c r="O563" s="13" t="s">
        <v>1597</v>
      </c>
      <c r="P563" s="115" t="s">
        <v>1598</v>
      </c>
      <c r="Q563" s="8" t="s">
        <v>1599</v>
      </c>
      <c r="R563" s="2">
        <v>1</v>
      </c>
      <c r="S563" s="9">
        <v>25000</v>
      </c>
      <c r="T563" s="10">
        <f t="shared" si="77"/>
        <v>12500</v>
      </c>
      <c r="U563" s="9">
        <v>110</v>
      </c>
      <c r="V563" s="10">
        <f t="shared" si="78"/>
        <v>12390</v>
      </c>
      <c r="W563" s="4" t="s">
        <v>122</v>
      </c>
      <c r="X563" s="2"/>
      <c r="Y563" s="11">
        <v>6</v>
      </c>
      <c r="Z563" s="12">
        <f t="shared" si="80"/>
        <v>41</v>
      </c>
      <c r="AA563" s="4" t="s">
        <v>120</v>
      </c>
      <c r="AC563" s="176">
        <f t="shared" si="76"/>
        <v>0.1</v>
      </c>
      <c r="AD563"/>
    </row>
    <row r="564" spans="2:30">
      <c r="B564" s="183">
        <f t="shared" si="81"/>
        <v>17</v>
      </c>
      <c r="C564" s="107" t="str">
        <f t="shared" si="82"/>
        <v>ATK</v>
      </c>
      <c r="D564" s="2" t="s">
        <v>295</v>
      </c>
      <c r="E564" s="3">
        <v>43941</v>
      </c>
      <c r="F564" s="3">
        <v>43941</v>
      </c>
      <c r="G564" s="108">
        <f t="shared" si="83"/>
        <v>4</v>
      </c>
      <c r="H564" s="108" t="str">
        <f t="shared" si="84"/>
        <v>완료</v>
      </c>
      <c r="I564" s="112" t="s">
        <v>218</v>
      </c>
      <c r="J564" s="4" t="s">
        <v>132</v>
      </c>
      <c r="K564" s="5" t="s">
        <v>133</v>
      </c>
      <c r="L564" s="6" t="str">
        <f t="shared" si="79"/>
        <v>3T3</v>
      </c>
      <c r="M564" s="13" t="s">
        <v>1600</v>
      </c>
      <c r="N564" s="7" t="s">
        <v>3728</v>
      </c>
      <c r="O564" s="13" t="s">
        <v>1601</v>
      </c>
      <c r="P564" s="115" t="s">
        <v>1419</v>
      </c>
      <c r="Q564" s="8" t="s">
        <v>1602</v>
      </c>
      <c r="R564" s="2">
        <v>1</v>
      </c>
      <c r="S564" s="9">
        <v>700</v>
      </c>
      <c r="T564" s="10">
        <f t="shared" si="77"/>
        <v>350</v>
      </c>
      <c r="U564" s="9">
        <v>10</v>
      </c>
      <c r="V564" s="10">
        <f t="shared" si="78"/>
        <v>340</v>
      </c>
      <c r="W564" s="4" t="s">
        <v>122</v>
      </c>
      <c r="X564" s="2"/>
      <c r="Y564" s="11">
        <v>2</v>
      </c>
      <c r="Z564" s="12">
        <f t="shared" si="80"/>
        <v>0</v>
      </c>
      <c r="AA564" s="4" t="s">
        <v>120</v>
      </c>
      <c r="AC564" s="176">
        <f t="shared" si="76"/>
        <v>9.0909090909090905E-3</v>
      </c>
      <c r="AD564"/>
    </row>
    <row r="565" spans="2:30">
      <c r="B565" s="183">
        <f t="shared" si="81"/>
        <v>17</v>
      </c>
      <c r="C565" s="107" t="str">
        <f t="shared" si="82"/>
        <v>ATK</v>
      </c>
      <c r="D565" s="2" t="s">
        <v>379</v>
      </c>
      <c r="E565" s="3">
        <v>43941</v>
      </c>
      <c r="F565" s="3">
        <v>43941</v>
      </c>
      <c r="G565" s="108">
        <f t="shared" si="83"/>
        <v>4</v>
      </c>
      <c r="H565" s="108" t="str">
        <f t="shared" si="84"/>
        <v>완료</v>
      </c>
      <c r="I565" s="112" t="s">
        <v>218</v>
      </c>
      <c r="J565" s="4" t="s">
        <v>132</v>
      </c>
      <c r="K565" s="5" t="s">
        <v>322</v>
      </c>
      <c r="L565" s="6" t="str">
        <f t="shared" si="79"/>
        <v>3T1</v>
      </c>
      <c r="M565" s="13" t="s">
        <v>946</v>
      </c>
      <c r="N565" s="7" t="s">
        <v>3729</v>
      </c>
      <c r="O565" s="13" t="s">
        <v>537</v>
      </c>
      <c r="P565" s="115" t="s">
        <v>1603</v>
      </c>
      <c r="Q565" s="8"/>
      <c r="R565" s="2">
        <v>1</v>
      </c>
      <c r="S565" s="9">
        <v>1000</v>
      </c>
      <c r="T565" s="10">
        <f t="shared" si="77"/>
        <v>500</v>
      </c>
      <c r="U565" s="9">
        <v>10</v>
      </c>
      <c r="V565" s="10">
        <f t="shared" si="78"/>
        <v>490</v>
      </c>
      <c r="W565" s="4" t="s">
        <v>122</v>
      </c>
      <c r="X565" s="2"/>
      <c r="Y565" s="11">
        <v>3</v>
      </c>
      <c r="Z565" s="12">
        <f t="shared" si="80"/>
        <v>0</v>
      </c>
      <c r="AA565" s="4" t="s">
        <v>212</v>
      </c>
      <c r="AC565" s="176">
        <f t="shared" si="76"/>
        <v>9.0909090909090905E-3</v>
      </c>
      <c r="AD565"/>
    </row>
    <row r="566" spans="2:30">
      <c r="B566" s="183">
        <f t="shared" si="81"/>
        <v>17</v>
      </c>
      <c r="C566" s="107" t="str">
        <f t="shared" si="82"/>
        <v>ATK</v>
      </c>
      <c r="D566" s="2" t="s">
        <v>952</v>
      </c>
      <c r="E566" s="3">
        <v>43941</v>
      </c>
      <c r="F566" s="3">
        <v>43941</v>
      </c>
      <c r="G566" s="108">
        <f t="shared" si="83"/>
        <v>4</v>
      </c>
      <c r="H566" s="108" t="str">
        <f t="shared" si="84"/>
        <v>완료</v>
      </c>
      <c r="I566" s="112" t="s">
        <v>218</v>
      </c>
      <c r="J566" s="4" t="s">
        <v>499</v>
      </c>
      <c r="K566" s="5" t="s">
        <v>499</v>
      </c>
      <c r="L566" s="6" t="str">
        <f t="shared" si="79"/>
        <v>QA</v>
      </c>
      <c r="M566" s="13" t="s">
        <v>1604</v>
      </c>
      <c r="N566" s="7" t="s">
        <v>3730</v>
      </c>
      <c r="O566" s="13" t="s">
        <v>1605</v>
      </c>
      <c r="P566" s="115" t="s">
        <v>1606</v>
      </c>
      <c r="Q566" s="8"/>
      <c r="R566" s="2">
        <v>1</v>
      </c>
      <c r="S566" s="9">
        <v>2000</v>
      </c>
      <c r="T566" s="10">
        <f t="shared" si="77"/>
        <v>1000</v>
      </c>
      <c r="U566" s="9"/>
      <c r="V566" s="10">
        <f t="shared" si="78"/>
        <v>1000</v>
      </c>
      <c r="W566" s="4" t="s">
        <v>122</v>
      </c>
      <c r="X566" s="2"/>
      <c r="Y566" s="11">
        <v>5</v>
      </c>
      <c r="Z566" s="12">
        <f t="shared" si="80"/>
        <v>0</v>
      </c>
      <c r="AA566" s="4" t="s">
        <v>212</v>
      </c>
      <c r="AC566" s="176">
        <f t="shared" si="76"/>
        <v>0</v>
      </c>
      <c r="AD566"/>
    </row>
    <row r="567" spans="2:30">
      <c r="B567" s="183">
        <f t="shared" si="81"/>
        <v>17</v>
      </c>
      <c r="C567" s="107" t="str">
        <f t="shared" si="82"/>
        <v>ATK</v>
      </c>
      <c r="D567" s="2" t="s">
        <v>255</v>
      </c>
      <c r="E567" s="3">
        <v>43941</v>
      </c>
      <c r="F567" s="3">
        <v>43941</v>
      </c>
      <c r="G567" s="108">
        <f t="shared" si="83"/>
        <v>4</v>
      </c>
      <c r="H567" s="108" t="str">
        <f t="shared" si="84"/>
        <v>완료</v>
      </c>
      <c r="I567" s="112" t="s">
        <v>218</v>
      </c>
      <c r="J567" s="4" t="s">
        <v>127</v>
      </c>
      <c r="K567" s="5" t="s">
        <v>135</v>
      </c>
      <c r="L567" s="6" t="str">
        <f t="shared" si="79"/>
        <v>1T3</v>
      </c>
      <c r="M567" s="13" t="s">
        <v>256</v>
      </c>
      <c r="N567" s="7" t="s">
        <v>3529</v>
      </c>
      <c r="O567" s="13" t="s">
        <v>1402</v>
      </c>
      <c r="P567" s="115" t="s">
        <v>330</v>
      </c>
      <c r="Q567" s="8"/>
      <c r="R567" s="2">
        <v>1</v>
      </c>
      <c r="S567" s="9">
        <v>3500</v>
      </c>
      <c r="T567" s="10">
        <f t="shared" si="77"/>
        <v>1750</v>
      </c>
      <c r="U567" s="9">
        <v>0</v>
      </c>
      <c r="V567" s="10">
        <f t="shared" si="78"/>
        <v>1750</v>
      </c>
      <c r="W567" s="4" t="s">
        <v>122</v>
      </c>
      <c r="X567" s="2"/>
      <c r="Y567" s="11">
        <v>2</v>
      </c>
      <c r="Z567" s="12">
        <f t="shared" si="80"/>
        <v>0</v>
      </c>
      <c r="AA567" s="4" t="s">
        <v>27</v>
      </c>
      <c r="AC567" s="176">
        <f t="shared" si="76"/>
        <v>0</v>
      </c>
      <c r="AD567"/>
    </row>
    <row r="568" spans="2:30">
      <c r="B568" s="183">
        <f t="shared" si="81"/>
        <v>17</v>
      </c>
      <c r="C568" s="107" t="str">
        <f t="shared" si="82"/>
        <v>ATK</v>
      </c>
      <c r="D568" s="2" t="s">
        <v>1607</v>
      </c>
      <c r="E568" s="3">
        <v>43941</v>
      </c>
      <c r="F568" s="3">
        <v>43942</v>
      </c>
      <c r="G568" s="108">
        <f t="shared" si="83"/>
        <v>4</v>
      </c>
      <c r="H568" s="108" t="str">
        <f t="shared" si="84"/>
        <v>완료</v>
      </c>
      <c r="I568" s="112" t="s">
        <v>218</v>
      </c>
      <c r="J568" s="4" t="s">
        <v>808</v>
      </c>
      <c r="K568" s="5" t="s">
        <v>1608</v>
      </c>
      <c r="L568" s="6" t="str">
        <f t="shared" si="79"/>
        <v>1T3</v>
      </c>
      <c r="M568" s="13" t="s">
        <v>834</v>
      </c>
      <c r="N568" s="7" t="s">
        <v>3731</v>
      </c>
      <c r="O568" s="13" t="s">
        <v>1609</v>
      </c>
      <c r="P568" s="115" t="s">
        <v>1610</v>
      </c>
      <c r="Q568" s="8"/>
      <c r="R568" s="2">
        <v>1</v>
      </c>
      <c r="S568" s="9">
        <v>1200</v>
      </c>
      <c r="T568" s="10">
        <f t="shared" si="77"/>
        <v>600</v>
      </c>
      <c r="U568" s="9">
        <v>25</v>
      </c>
      <c r="V568" s="10">
        <f t="shared" si="78"/>
        <v>575</v>
      </c>
      <c r="W568" s="4" t="s">
        <v>1611</v>
      </c>
      <c r="X568" s="2"/>
      <c r="Y568" s="11">
        <v>4</v>
      </c>
      <c r="Z568" s="12">
        <f t="shared" si="80"/>
        <v>1</v>
      </c>
      <c r="AA568" s="4" t="s">
        <v>1612</v>
      </c>
      <c r="AC568" s="176">
        <f t="shared" si="76"/>
        <v>2.2727272727272728E-2</v>
      </c>
      <c r="AD568"/>
    </row>
    <row r="569" spans="2:30">
      <c r="B569" s="183">
        <f t="shared" si="81"/>
        <v>17</v>
      </c>
      <c r="C569" s="107" t="str">
        <f t="shared" si="82"/>
        <v>ATK</v>
      </c>
      <c r="D569" s="2" t="s">
        <v>541</v>
      </c>
      <c r="E569" s="3">
        <v>43941</v>
      </c>
      <c r="F569" s="3">
        <v>43942</v>
      </c>
      <c r="G569" s="108">
        <f t="shared" si="83"/>
        <v>4</v>
      </c>
      <c r="H569" s="108" t="str">
        <f t="shared" si="84"/>
        <v>완료</v>
      </c>
      <c r="I569" s="112" t="s">
        <v>218</v>
      </c>
      <c r="J569" s="4" t="s">
        <v>132</v>
      </c>
      <c r="K569" s="5" t="s">
        <v>322</v>
      </c>
      <c r="L569" s="6" t="str">
        <f t="shared" si="79"/>
        <v>3T1</v>
      </c>
      <c r="M569" s="13" t="s">
        <v>226</v>
      </c>
      <c r="N569" s="7" t="s">
        <v>3500</v>
      </c>
      <c r="O569" s="13" t="s">
        <v>1618</v>
      </c>
      <c r="P569" s="115" t="s">
        <v>1617</v>
      </c>
      <c r="Q569" s="8"/>
      <c r="R569" s="2">
        <v>1</v>
      </c>
      <c r="S569" s="9">
        <v>2000</v>
      </c>
      <c r="T569" s="10">
        <f t="shared" si="77"/>
        <v>1000</v>
      </c>
      <c r="U569" s="9">
        <v>300</v>
      </c>
      <c r="V569" s="10">
        <f t="shared" si="78"/>
        <v>700</v>
      </c>
      <c r="W569" s="4" t="s">
        <v>249</v>
      </c>
      <c r="X569" s="2"/>
      <c r="Y569" s="11">
        <v>4</v>
      </c>
      <c r="Z569" s="12">
        <f t="shared" si="80"/>
        <v>1</v>
      </c>
      <c r="AA569" s="4" t="s">
        <v>27</v>
      </c>
      <c r="AC569" s="176">
        <f t="shared" ref="AC569:AC632" si="85">U569/1100</f>
        <v>0.27272727272727271</v>
      </c>
      <c r="AD569"/>
    </row>
    <row r="570" spans="2:30">
      <c r="B570" s="183">
        <f t="shared" si="81"/>
        <v>17</v>
      </c>
      <c r="C570" s="107" t="str">
        <f t="shared" si="82"/>
        <v>ATK</v>
      </c>
      <c r="D570" s="2" t="s">
        <v>274</v>
      </c>
      <c r="E570" s="3">
        <v>43941</v>
      </c>
      <c r="F570" s="3">
        <v>43942</v>
      </c>
      <c r="G570" s="108">
        <f t="shared" si="83"/>
        <v>4</v>
      </c>
      <c r="H570" s="108" t="str">
        <f t="shared" si="84"/>
        <v>완료</v>
      </c>
      <c r="I570" s="112" t="s">
        <v>218</v>
      </c>
      <c r="J570" s="4" t="s">
        <v>132</v>
      </c>
      <c r="K570" s="5" t="s">
        <v>143</v>
      </c>
      <c r="L570" s="6" t="str">
        <f t="shared" si="79"/>
        <v>3T4</v>
      </c>
      <c r="M570" s="13" t="s">
        <v>158</v>
      </c>
      <c r="N570" s="7" t="s">
        <v>3500</v>
      </c>
      <c r="O570" s="13" t="s">
        <v>275</v>
      </c>
      <c r="P570" s="115" t="s">
        <v>1617</v>
      </c>
      <c r="Q570" s="8"/>
      <c r="R570" s="2">
        <v>1</v>
      </c>
      <c r="S570" s="9">
        <v>1200</v>
      </c>
      <c r="T570" s="10">
        <f t="shared" si="77"/>
        <v>600</v>
      </c>
      <c r="U570" s="9">
        <v>50</v>
      </c>
      <c r="V570" s="10">
        <f t="shared" si="78"/>
        <v>550</v>
      </c>
      <c r="W570" s="4" t="s">
        <v>249</v>
      </c>
      <c r="X570" s="2"/>
      <c r="Y570" s="11">
        <v>2</v>
      </c>
      <c r="Z570" s="12">
        <f t="shared" si="80"/>
        <v>1</v>
      </c>
      <c r="AA570" s="4" t="s">
        <v>27</v>
      </c>
      <c r="AC570" s="176">
        <f t="shared" si="85"/>
        <v>4.5454545454545456E-2</v>
      </c>
      <c r="AD570"/>
    </row>
    <row r="571" spans="2:30">
      <c r="B571" s="183">
        <f t="shared" si="81"/>
        <v>17</v>
      </c>
      <c r="C571" s="107" t="str">
        <f t="shared" si="82"/>
        <v>ATK</v>
      </c>
      <c r="D571" s="2" t="s">
        <v>255</v>
      </c>
      <c r="E571" s="3">
        <v>43941</v>
      </c>
      <c r="F571" s="3">
        <v>43943</v>
      </c>
      <c r="G571" s="108">
        <f t="shared" si="83"/>
        <v>4</v>
      </c>
      <c r="H571" s="108" t="str">
        <f t="shared" si="84"/>
        <v>완료</v>
      </c>
      <c r="I571" s="112" t="s">
        <v>218</v>
      </c>
      <c r="J571" s="4" t="s">
        <v>1613</v>
      </c>
      <c r="K571" s="5" t="s">
        <v>1614</v>
      </c>
      <c r="L571" s="6" t="str">
        <f t="shared" si="79"/>
        <v>1T3</v>
      </c>
      <c r="M571" s="13" t="s">
        <v>256</v>
      </c>
      <c r="N571" s="13" t="s">
        <v>3624</v>
      </c>
      <c r="O571" s="7" t="s">
        <v>958</v>
      </c>
      <c r="P571" s="115" t="s">
        <v>1615</v>
      </c>
      <c r="Q571" s="8"/>
      <c r="R571" s="2">
        <v>1</v>
      </c>
      <c r="S571" s="9">
        <v>600</v>
      </c>
      <c r="T571" s="10">
        <f t="shared" si="77"/>
        <v>300</v>
      </c>
      <c r="U571" s="9">
        <v>25</v>
      </c>
      <c r="V571" s="10">
        <f t="shared" si="78"/>
        <v>275</v>
      </c>
      <c r="W571" s="4" t="s">
        <v>249</v>
      </c>
      <c r="X571" s="2"/>
      <c r="Y571" s="11">
        <v>3</v>
      </c>
      <c r="Z571" s="12">
        <f t="shared" si="80"/>
        <v>2</v>
      </c>
      <c r="AA571" s="4" t="s">
        <v>1616</v>
      </c>
      <c r="AC571" s="176">
        <f t="shared" si="85"/>
        <v>2.2727272727272728E-2</v>
      </c>
      <c r="AD571"/>
    </row>
    <row r="572" spans="2:30">
      <c r="B572" s="183">
        <f t="shared" si="81"/>
        <v>17</v>
      </c>
      <c r="C572" s="107" t="str">
        <f t="shared" si="82"/>
        <v>ATK</v>
      </c>
      <c r="D572" s="2" t="s">
        <v>652</v>
      </c>
      <c r="E572" s="3">
        <v>43943</v>
      </c>
      <c r="F572" s="3">
        <v>43945</v>
      </c>
      <c r="G572" s="108">
        <f t="shared" si="83"/>
        <v>4</v>
      </c>
      <c r="H572" s="108" t="str">
        <f t="shared" si="84"/>
        <v>완료</v>
      </c>
      <c r="I572" s="112" t="s">
        <v>514</v>
      </c>
      <c r="J572" s="4" t="s">
        <v>281</v>
      </c>
      <c r="K572" s="5" t="s">
        <v>332</v>
      </c>
      <c r="L572" s="6" t="str">
        <f t="shared" si="79"/>
        <v>EE2</v>
      </c>
      <c r="M572" s="13" t="s">
        <v>256</v>
      </c>
      <c r="N572" s="7" t="s">
        <v>3529</v>
      </c>
      <c r="O572" s="13" t="s">
        <v>333</v>
      </c>
      <c r="P572" s="115" t="s">
        <v>1619</v>
      </c>
      <c r="Q572" s="8" t="s">
        <v>311</v>
      </c>
      <c r="R572" s="2">
        <v>1</v>
      </c>
      <c r="S572" s="9">
        <v>3500</v>
      </c>
      <c r="T572" s="10">
        <f t="shared" si="77"/>
        <v>1750</v>
      </c>
      <c r="U572" s="9">
        <v>0</v>
      </c>
      <c r="V572" s="10">
        <f t="shared" si="78"/>
        <v>1750</v>
      </c>
      <c r="W572" s="4" t="s">
        <v>326</v>
      </c>
      <c r="X572" s="2" t="s">
        <v>34</v>
      </c>
      <c r="Y572" s="11">
        <v>1</v>
      </c>
      <c r="Z572" s="12">
        <f t="shared" si="80"/>
        <v>2</v>
      </c>
      <c r="AA572" s="4" t="s">
        <v>30</v>
      </c>
      <c r="AC572" s="176">
        <f t="shared" si="85"/>
        <v>0</v>
      </c>
      <c r="AD572"/>
    </row>
    <row r="573" spans="2:30">
      <c r="B573" s="183">
        <f t="shared" si="81"/>
        <v>17</v>
      </c>
      <c r="C573" s="107" t="str">
        <f t="shared" si="82"/>
        <v>ATK</v>
      </c>
      <c r="D573" s="2" t="s">
        <v>463</v>
      </c>
      <c r="E573" s="3">
        <v>43942</v>
      </c>
      <c r="F573" s="3">
        <v>43942</v>
      </c>
      <c r="G573" s="108">
        <f t="shared" si="83"/>
        <v>4</v>
      </c>
      <c r="H573" s="108" t="str">
        <f t="shared" si="84"/>
        <v>완료</v>
      </c>
      <c r="I573" s="112" t="s">
        <v>218</v>
      </c>
      <c r="J573" s="4" t="s">
        <v>121</v>
      </c>
      <c r="K573" s="5" t="s">
        <v>136</v>
      </c>
      <c r="L573" s="6" t="str">
        <f t="shared" si="79"/>
        <v>5T1</v>
      </c>
      <c r="M573" s="13" t="s">
        <v>1620</v>
      </c>
      <c r="N573" s="7" t="s">
        <v>3670</v>
      </c>
      <c r="O573" s="13" t="s">
        <v>916</v>
      </c>
      <c r="P573" s="115"/>
      <c r="Q573" s="8"/>
      <c r="R573" s="2">
        <v>2</v>
      </c>
      <c r="S573" s="9">
        <v>2300</v>
      </c>
      <c r="T573" s="10">
        <f t="shared" ref="T573:T636" si="86">(S573*50)/100*R573</f>
        <v>2300</v>
      </c>
      <c r="U573" s="9">
        <v>320</v>
      </c>
      <c r="V573" s="10">
        <f t="shared" ref="V573:V636" si="87">T573-U573</f>
        <v>1980</v>
      </c>
      <c r="W573" s="4" t="s">
        <v>122</v>
      </c>
      <c r="X573" s="2"/>
      <c r="Y573" s="11">
        <v>1</v>
      </c>
      <c r="Z573" s="12">
        <f t="shared" si="80"/>
        <v>0</v>
      </c>
      <c r="AA573" s="4" t="s">
        <v>117</v>
      </c>
      <c r="AC573" s="176">
        <f t="shared" si="85"/>
        <v>0.29090909090909089</v>
      </c>
      <c r="AD573"/>
    </row>
    <row r="574" spans="2:30">
      <c r="B574" s="183">
        <f t="shared" si="81"/>
        <v>17</v>
      </c>
      <c r="C574" s="107" t="str">
        <f t="shared" si="82"/>
        <v>ATK</v>
      </c>
      <c r="D574" s="2" t="s">
        <v>1333</v>
      </c>
      <c r="E574" s="3">
        <v>43942</v>
      </c>
      <c r="F574" s="3">
        <v>43942</v>
      </c>
      <c r="G574" s="108">
        <f t="shared" si="83"/>
        <v>4</v>
      </c>
      <c r="H574" s="108" t="str">
        <f t="shared" si="84"/>
        <v>완료</v>
      </c>
      <c r="I574" s="112" t="s">
        <v>218</v>
      </c>
      <c r="J574" s="4" t="s">
        <v>115</v>
      </c>
      <c r="K574" s="5" t="s">
        <v>138</v>
      </c>
      <c r="L574" s="6" t="str">
        <f t="shared" si="79"/>
        <v>EE1</v>
      </c>
      <c r="M574" s="13" t="s">
        <v>1621</v>
      </c>
      <c r="N574" s="7" t="s">
        <v>140</v>
      </c>
      <c r="O574" s="13" t="s">
        <v>1622</v>
      </c>
      <c r="P574" s="115" t="s">
        <v>330</v>
      </c>
      <c r="Q574" s="8"/>
      <c r="R574" s="2">
        <v>1</v>
      </c>
      <c r="S574" s="9">
        <v>1500</v>
      </c>
      <c r="T574" s="10">
        <f t="shared" si="86"/>
        <v>750</v>
      </c>
      <c r="U574" s="9">
        <v>100</v>
      </c>
      <c r="V574" s="10">
        <f t="shared" si="87"/>
        <v>650</v>
      </c>
      <c r="W574" s="4" t="s">
        <v>122</v>
      </c>
      <c r="X574" s="2"/>
      <c r="Y574" s="11">
        <v>3</v>
      </c>
      <c r="Z574" s="12">
        <f t="shared" si="80"/>
        <v>0</v>
      </c>
      <c r="AA574" s="4" t="s">
        <v>117</v>
      </c>
      <c r="AC574" s="176">
        <f t="shared" si="85"/>
        <v>9.0909090909090912E-2</v>
      </c>
      <c r="AD574"/>
    </row>
    <row r="575" spans="2:30">
      <c r="B575" s="183">
        <f t="shared" si="81"/>
        <v>17</v>
      </c>
      <c r="C575" s="107" t="str">
        <f t="shared" si="82"/>
        <v>ATK</v>
      </c>
      <c r="D575" s="2" t="s">
        <v>1623</v>
      </c>
      <c r="E575" s="3">
        <v>43942</v>
      </c>
      <c r="F575" s="3">
        <v>43942</v>
      </c>
      <c r="G575" s="108">
        <f t="shared" si="83"/>
        <v>4</v>
      </c>
      <c r="H575" s="108" t="str">
        <f t="shared" si="84"/>
        <v>완료</v>
      </c>
      <c r="I575" s="112" t="s">
        <v>218</v>
      </c>
      <c r="J575" s="4" t="s">
        <v>127</v>
      </c>
      <c r="K575" s="5" t="s">
        <v>131</v>
      </c>
      <c r="L575" s="6" t="str">
        <f t="shared" si="79"/>
        <v>1T4</v>
      </c>
      <c r="M575" s="13" t="s">
        <v>226</v>
      </c>
      <c r="N575" s="7" t="s">
        <v>3732</v>
      </c>
      <c r="O575" s="13" t="s">
        <v>1624</v>
      </c>
      <c r="P575" s="115" t="s">
        <v>1625</v>
      </c>
      <c r="Q575" s="8"/>
      <c r="R575" s="2">
        <v>1</v>
      </c>
      <c r="S575" s="9">
        <v>600</v>
      </c>
      <c r="T575" s="10">
        <f t="shared" si="86"/>
        <v>300</v>
      </c>
      <c r="U575" s="9">
        <v>10</v>
      </c>
      <c r="V575" s="10">
        <f t="shared" si="87"/>
        <v>290</v>
      </c>
      <c r="W575" s="4" t="s">
        <v>122</v>
      </c>
      <c r="X575" s="2"/>
      <c r="Y575" s="11">
        <v>5</v>
      </c>
      <c r="Z575" s="12">
        <f t="shared" si="80"/>
        <v>0</v>
      </c>
      <c r="AA575" s="4" t="s">
        <v>259</v>
      </c>
      <c r="AC575" s="176">
        <f t="shared" si="85"/>
        <v>9.0909090909090905E-3</v>
      </c>
      <c r="AD575"/>
    </row>
    <row r="576" spans="2:30">
      <c r="B576" s="183">
        <f t="shared" si="81"/>
        <v>17</v>
      </c>
      <c r="C576" s="107" t="str">
        <f t="shared" si="82"/>
        <v>ATK</v>
      </c>
      <c r="D576" s="2" t="s">
        <v>1626</v>
      </c>
      <c r="E576" s="3">
        <v>43942</v>
      </c>
      <c r="F576" s="3">
        <v>43942</v>
      </c>
      <c r="G576" s="108">
        <f t="shared" si="83"/>
        <v>4</v>
      </c>
      <c r="H576" s="108" t="str">
        <f t="shared" si="84"/>
        <v>완료</v>
      </c>
      <c r="I576" s="112" t="s">
        <v>218</v>
      </c>
      <c r="J576" s="4" t="s">
        <v>118</v>
      </c>
      <c r="K576" s="5" t="s">
        <v>119</v>
      </c>
      <c r="L576" s="6" t="str">
        <f t="shared" si="79"/>
        <v>2T3</v>
      </c>
      <c r="M576" s="13" t="s">
        <v>730</v>
      </c>
      <c r="N576" s="7" t="s">
        <v>3491</v>
      </c>
      <c r="O576" s="13" t="s">
        <v>1485</v>
      </c>
      <c r="P576" s="115" t="s">
        <v>1627</v>
      </c>
      <c r="Q576" s="8"/>
      <c r="R576" s="2">
        <v>1</v>
      </c>
      <c r="S576" s="9">
        <v>5000</v>
      </c>
      <c r="T576" s="10">
        <f t="shared" si="86"/>
        <v>2500</v>
      </c>
      <c r="U576" s="9">
        <v>5</v>
      </c>
      <c r="V576" s="10">
        <f t="shared" si="87"/>
        <v>2495</v>
      </c>
      <c r="W576" s="4" t="s">
        <v>122</v>
      </c>
      <c r="X576" s="2"/>
      <c r="Y576" s="11">
        <v>2</v>
      </c>
      <c r="Z576" s="12">
        <f t="shared" si="80"/>
        <v>0</v>
      </c>
      <c r="AA576" s="4" t="s">
        <v>117</v>
      </c>
      <c r="AC576" s="176">
        <f t="shared" si="85"/>
        <v>4.5454545454545452E-3</v>
      </c>
      <c r="AD576"/>
    </row>
    <row r="577" spans="2:30">
      <c r="B577" s="183">
        <f t="shared" si="81"/>
        <v>17</v>
      </c>
      <c r="C577" s="107" t="str">
        <f t="shared" si="82"/>
        <v>ATK</v>
      </c>
      <c r="D577" s="2" t="s">
        <v>1311</v>
      </c>
      <c r="E577" s="3">
        <v>43942</v>
      </c>
      <c r="F577" s="3">
        <v>43942</v>
      </c>
      <c r="G577" s="108">
        <f t="shared" si="83"/>
        <v>4</v>
      </c>
      <c r="H577" s="108" t="str">
        <f t="shared" si="84"/>
        <v>완료</v>
      </c>
      <c r="I577" s="112" t="s">
        <v>218</v>
      </c>
      <c r="J577" s="4" t="s">
        <v>115</v>
      </c>
      <c r="K577" s="5" t="s">
        <v>138</v>
      </c>
      <c r="L577" s="6" t="str">
        <f t="shared" si="79"/>
        <v>EE1</v>
      </c>
      <c r="M577" s="13" t="s">
        <v>1628</v>
      </c>
      <c r="N577" s="7" t="s">
        <v>3733</v>
      </c>
      <c r="O577" s="13" t="s">
        <v>543</v>
      </c>
      <c r="P577" s="115" t="s">
        <v>1629</v>
      </c>
      <c r="Q577" s="8"/>
      <c r="R577" s="2">
        <v>1</v>
      </c>
      <c r="S577" s="9">
        <v>8000</v>
      </c>
      <c r="T577" s="10">
        <f t="shared" si="86"/>
        <v>4000</v>
      </c>
      <c r="U577" s="9">
        <v>1</v>
      </c>
      <c r="V577" s="10">
        <f t="shared" si="87"/>
        <v>3999</v>
      </c>
      <c r="W577" s="4" t="s">
        <v>122</v>
      </c>
      <c r="X577" s="2"/>
      <c r="Y577" s="11">
        <v>4</v>
      </c>
      <c r="Z577" s="12">
        <f t="shared" si="80"/>
        <v>0</v>
      </c>
      <c r="AA577" s="4" t="s">
        <v>120</v>
      </c>
      <c r="AC577" s="176">
        <f t="shared" si="85"/>
        <v>9.0909090909090909E-4</v>
      </c>
      <c r="AD577"/>
    </row>
    <row r="578" spans="2:30">
      <c r="B578" s="183">
        <f t="shared" si="81"/>
        <v>17</v>
      </c>
      <c r="C578" s="107" t="str">
        <f t="shared" si="82"/>
        <v>ATK</v>
      </c>
      <c r="D578" s="2" t="s">
        <v>1630</v>
      </c>
      <c r="E578" s="3">
        <v>43942</v>
      </c>
      <c r="F578" s="3">
        <v>43942</v>
      </c>
      <c r="G578" s="108">
        <f t="shared" si="83"/>
        <v>4</v>
      </c>
      <c r="H578" s="108" t="str">
        <f t="shared" si="84"/>
        <v>완료</v>
      </c>
      <c r="I578" s="112" t="s">
        <v>218</v>
      </c>
      <c r="J578" s="4" t="s">
        <v>115</v>
      </c>
      <c r="K578" s="5" t="s">
        <v>138</v>
      </c>
      <c r="L578" s="6" t="str">
        <f t="shared" ref="L578:L641" si="88">LEFT(K578,3)</f>
        <v>EE1</v>
      </c>
      <c r="M578" s="13" t="s">
        <v>1143</v>
      </c>
      <c r="N578" s="7" t="s">
        <v>3512</v>
      </c>
      <c r="O578" s="13" t="s">
        <v>1327</v>
      </c>
      <c r="P578" s="115" t="s">
        <v>1631</v>
      </c>
      <c r="Q578" s="8"/>
      <c r="R578" s="2">
        <v>1</v>
      </c>
      <c r="S578" s="9">
        <v>1200</v>
      </c>
      <c r="T578" s="10">
        <f t="shared" si="86"/>
        <v>600</v>
      </c>
      <c r="U578" s="9"/>
      <c r="V578" s="10">
        <f t="shared" si="87"/>
        <v>600</v>
      </c>
      <c r="W578" s="4" t="s">
        <v>122</v>
      </c>
      <c r="X578" s="2"/>
      <c r="Y578" s="11">
        <v>3</v>
      </c>
      <c r="Z578" s="12">
        <f t="shared" ref="Z578:Z641" si="89">F578-E578</f>
        <v>0</v>
      </c>
      <c r="AA578" s="4" t="s">
        <v>259</v>
      </c>
      <c r="AC578" s="176">
        <f t="shared" si="85"/>
        <v>0</v>
      </c>
      <c r="AD578"/>
    </row>
    <row r="579" spans="2:30">
      <c r="B579" s="183">
        <f t="shared" ref="B579:B642" si="90">IF(F579&gt;0,IFERROR(WEEKNUM(F579),""),"")</f>
        <v>17</v>
      </c>
      <c r="C579" s="107" t="str">
        <f t="shared" ref="C579:C642" si="91">IF(D579=0,"",(IF(LEFT(D579,3)="ATK","ATK",IF(LEFT(D579,2)="AT",D579,"ATK"))))</f>
        <v>ATK</v>
      </c>
      <c r="D579" s="2" t="s">
        <v>1632</v>
      </c>
      <c r="E579" s="3">
        <v>43942</v>
      </c>
      <c r="F579" s="3">
        <v>43942</v>
      </c>
      <c r="G579" s="108">
        <f t="shared" ref="G579:G642" si="92">IF(F579&gt;0,MONTH(F579),"")</f>
        <v>4</v>
      </c>
      <c r="H579" s="108" t="str">
        <f t="shared" ref="H579:H642" si="93">IF(I579=0,"",IF(RIGHT(I579,2)="완료","완료",IF(RIGHT(I579,2)="불가","수리불가",IF(RIGHT(I579,1)="중","수리중","Other"))))</f>
        <v>완료</v>
      </c>
      <c r="I579" s="112" t="s">
        <v>218</v>
      </c>
      <c r="J579" s="4" t="s">
        <v>121</v>
      </c>
      <c r="K579" s="5" t="s">
        <v>136</v>
      </c>
      <c r="L579" s="6" t="str">
        <f t="shared" si="88"/>
        <v>5T1</v>
      </c>
      <c r="M579" s="13" t="s">
        <v>226</v>
      </c>
      <c r="N579" s="7" t="s">
        <v>3734</v>
      </c>
      <c r="O579" s="13" t="s">
        <v>1327</v>
      </c>
      <c r="P579" s="115" t="s">
        <v>1635</v>
      </c>
      <c r="Q579" s="8"/>
      <c r="R579" s="2">
        <v>1</v>
      </c>
      <c r="S579" s="9">
        <v>1000</v>
      </c>
      <c r="T579" s="10">
        <f t="shared" si="86"/>
        <v>500</v>
      </c>
      <c r="U579" s="9"/>
      <c r="V579" s="10">
        <f t="shared" si="87"/>
        <v>500</v>
      </c>
      <c r="W579" s="4" t="s">
        <v>122</v>
      </c>
      <c r="X579" s="2"/>
      <c r="Y579" s="11">
        <v>6</v>
      </c>
      <c r="Z579" s="12">
        <f t="shared" si="89"/>
        <v>0</v>
      </c>
      <c r="AA579" s="4" t="s">
        <v>212</v>
      </c>
      <c r="AC579" s="176">
        <f t="shared" si="85"/>
        <v>0</v>
      </c>
      <c r="AD579"/>
    </row>
    <row r="580" spans="2:30">
      <c r="B580" s="183">
        <f t="shared" si="90"/>
        <v>17</v>
      </c>
      <c r="C580" s="107" t="str">
        <f t="shared" si="91"/>
        <v>ATK</v>
      </c>
      <c r="D580" s="2" t="s">
        <v>1633</v>
      </c>
      <c r="E580" s="3">
        <v>43942</v>
      </c>
      <c r="F580" s="3">
        <v>43942</v>
      </c>
      <c r="G580" s="108">
        <f t="shared" si="92"/>
        <v>4</v>
      </c>
      <c r="H580" s="108" t="str">
        <f t="shared" si="93"/>
        <v>완료</v>
      </c>
      <c r="I580" s="112" t="s">
        <v>218</v>
      </c>
      <c r="J580" s="4" t="s">
        <v>281</v>
      </c>
      <c r="K580" s="5" t="s">
        <v>282</v>
      </c>
      <c r="L580" s="6" t="str">
        <f t="shared" si="88"/>
        <v>EE1</v>
      </c>
      <c r="M580" s="13" t="s">
        <v>1143</v>
      </c>
      <c r="N580" s="7" t="s">
        <v>3734</v>
      </c>
      <c r="O580" s="13" t="s">
        <v>1327</v>
      </c>
      <c r="P580" s="115" t="s">
        <v>1634</v>
      </c>
      <c r="Q580" s="8"/>
      <c r="R580" s="2">
        <v>1</v>
      </c>
      <c r="S580" s="9">
        <v>1000</v>
      </c>
      <c r="T580" s="10">
        <f t="shared" si="86"/>
        <v>500</v>
      </c>
      <c r="U580" s="9"/>
      <c r="V580" s="10">
        <f t="shared" si="87"/>
        <v>500</v>
      </c>
      <c r="W580" s="4" t="s">
        <v>122</v>
      </c>
      <c r="X580" s="2"/>
      <c r="Y580" s="11">
        <v>1</v>
      </c>
      <c r="Z580" s="12">
        <f t="shared" si="89"/>
        <v>0</v>
      </c>
      <c r="AA580" s="4" t="s">
        <v>212</v>
      </c>
      <c r="AC580" s="176">
        <f t="shared" si="85"/>
        <v>0</v>
      </c>
      <c r="AD580"/>
    </row>
    <row r="581" spans="2:30">
      <c r="B581" s="183">
        <f t="shared" si="90"/>
        <v>19</v>
      </c>
      <c r="C581" s="107" t="str">
        <f t="shared" si="91"/>
        <v>ATK</v>
      </c>
      <c r="D581" s="2" t="s">
        <v>1636</v>
      </c>
      <c r="E581" s="3">
        <v>43942</v>
      </c>
      <c r="F581" s="3">
        <v>43957</v>
      </c>
      <c r="G581" s="108">
        <f t="shared" si="92"/>
        <v>5</v>
      </c>
      <c r="H581" s="108" t="str">
        <f t="shared" si="93"/>
        <v>완료</v>
      </c>
      <c r="I581" s="112" t="s">
        <v>218</v>
      </c>
      <c r="J581" s="4" t="s">
        <v>127</v>
      </c>
      <c r="K581" s="5" t="s">
        <v>131</v>
      </c>
      <c r="L581" s="6" t="str">
        <f t="shared" si="88"/>
        <v>1T4</v>
      </c>
      <c r="M581" s="13" t="s">
        <v>1637</v>
      </c>
      <c r="N581" s="7" t="s">
        <v>3501</v>
      </c>
      <c r="O581" s="13" t="s">
        <v>1330</v>
      </c>
      <c r="P581" s="115" t="s">
        <v>1745</v>
      </c>
      <c r="Q581" s="8"/>
      <c r="R581" s="2">
        <v>1</v>
      </c>
      <c r="S581" s="9">
        <v>1200</v>
      </c>
      <c r="T581" s="10">
        <f t="shared" si="86"/>
        <v>600</v>
      </c>
      <c r="U581" s="9"/>
      <c r="V581" s="10">
        <f t="shared" si="87"/>
        <v>600</v>
      </c>
      <c r="W581" s="4" t="s">
        <v>122</v>
      </c>
      <c r="X581" s="2"/>
      <c r="Y581" s="11">
        <v>8</v>
      </c>
      <c r="Z581" s="12">
        <f t="shared" si="89"/>
        <v>15</v>
      </c>
      <c r="AA581" s="4" t="s">
        <v>212</v>
      </c>
      <c r="AC581" s="176">
        <f t="shared" si="85"/>
        <v>0</v>
      </c>
      <c r="AD581"/>
    </row>
    <row r="582" spans="2:30">
      <c r="B582" s="183">
        <f t="shared" si="90"/>
        <v>17</v>
      </c>
      <c r="C582" s="107" t="str">
        <f t="shared" si="91"/>
        <v>ATK</v>
      </c>
      <c r="D582" s="2" t="s">
        <v>1638</v>
      </c>
      <c r="E582" s="3">
        <v>43943</v>
      </c>
      <c r="F582" s="3">
        <v>43943</v>
      </c>
      <c r="G582" s="108">
        <f t="shared" si="92"/>
        <v>4</v>
      </c>
      <c r="H582" s="108" t="str">
        <f t="shared" si="93"/>
        <v>완료</v>
      </c>
      <c r="I582" s="112" t="s">
        <v>218</v>
      </c>
      <c r="J582" s="4" t="s">
        <v>115</v>
      </c>
      <c r="K582" s="5" t="s">
        <v>138</v>
      </c>
      <c r="L582" s="6" t="str">
        <f t="shared" si="88"/>
        <v>EE1</v>
      </c>
      <c r="M582" s="13"/>
      <c r="N582" s="7" t="s">
        <v>3512</v>
      </c>
      <c r="O582" s="13" t="s">
        <v>1639</v>
      </c>
      <c r="P582" s="115" t="s">
        <v>1640</v>
      </c>
      <c r="Q582" s="8"/>
      <c r="R582" s="2">
        <v>2</v>
      </c>
      <c r="S582" s="9">
        <v>1200</v>
      </c>
      <c r="T582" s="10">
        <f t="shared" si="86"/>
        <v>1200</v>
      </c>
      <c r="U582" s="9"/>
      <c r="V582" s="10">
        <f t="shared" si="87"/>
        <v>1200</v>
      </c>
      <c r="W582" s="4" t="s">
        <v>122</v>
      </c>
      <c r="X582" s="2"/>
      <c r="Y582" s="11">
        <v>5</v>
      </c>
      <c r="Z582" s="12">
        <f t="shared" si="89"/>
        <v>0</v>
      </c>
      <c r="AA582" s="4" t="s">
        <v>259</v>
      </c>
      <c r="AC582" s="176">
        <f t="shared" si="85"/>
        <v>0</v>
      </c>
      <c r="AD582"/>
    </row>
    <row r="583" spans="2:30">
      <c r="B583" s="183">
        <f t="shared" si="90"/>
        <v>25</v>
      </c>
      <c r="C583" s="107" t="str">
        <f t="shared" si="91"/>
        <v>ATK</v>
      </c>
      <c r="D583" s="2" t="s">
        <v>1641</v>
      </c>
      <c r="E583" s="3">
        <v>43943</v>
      </c>
      <c r="F583" s="3">
        <v>44000</v>
      </c>
      <c r="G583" s="108">
        <f t="shared" si="92"/>
        <v>6</v>
      </c>
      <c r="H583" s="108" t="str">
        <f t="shared" si="93"/>
        <v>완료</v>
      </c>
      <c r="I583" s="112" t="s">
        <v>514</v>
      </c>
      <c r="J583" s="4" t="s">
        <v>121</v>
      </c>
      <c r="K583" s="5" t="s">
        <v>136</v>
      </c>
      <c r="L583" s="6" t="str">
        <f t="shared" si="88"/>
        <v>5T1</v>
      </c>
      <c r="M583" s="13" t="s">
        <v>207</v>
      </c>
      <c r="N583" s="7" t="s">
        <v>3723</v>
      </c>
      <c r="O583" s="13" t="s">
        <v>1038</v>
      </c>
      <c r="P583" s="115" t="s">
        <v>1644</v>
      </c>
      <c r="Q583" s="8"/>
      <c r="R583" s="2">
        <v>1</v>
      </c>
      <c r="S583" s="9">
        <v>3000</v>
      </c>
      <c r="T583" s="10">
        <f t="shared" si="86"/>
        <v>1500</v>
      </c>
      <c r="U583" s="9">
        <v>700</v>
      </c>
      <c r="V583" s="10">
        <f t="shared" si="87"/>
        <v>800</v>
      </c>
      <c r="W583" s="4" t="s">
        <v>1642</v>
      </c>
      <c r="X583" s="2" t="s">
        <v>1643</v>
      </c>
      <c r="Y583" s="11">
        <v>1</v>
      </c>
      <c r="Z583" s="12">
        <f t="shared" si="89"/>
        <v>57</v>
      </c>
      <c r="AA583" s="4" t="s">
        <v>117</v>
      </c>
      <c r="AC583" s="176">
        <f t="shared" si="85"/>
        <v>0.63636363636363635</v>
      </c>
      <c r="AD583"/>
    </row>
    <row r="584" spans="2:30">
      <c r="B584" s="183">
        <f t="shared" si="90"/>
        <v>17</v>
      </c>
      <c r="C584" s="107" t="str">
        <f t="shared" si="91"/>
        <v>ATK</v>
      </c>
      <c r="D584" s="2" t="s">
        <v>677</v>
      </c>
      <c r="E584" s="3">
        <v>43944</v>
      </c>
      <c r="F584" s="3">
        <v>43944</v>
      </c>
      <c r="G584" s="108">
        <f t="shared" si="92"/>
        <v>4</v>
      </c>
      <c r="H584" s="108" t="str">
        <f t="shared" si="93"/>
        <v>완료</v>
      </c>
      <c r="I584" s="112" t="s">
        <v>218</v>
      </c>
      <c r="J584" s="4" t="s">
        <v>139</v>
      </c>
      <c r="K584" s="5" t="s">
        <v>128</v>
      </c>
      <c r="L584" s="6" t="str">
        <f t="shared" si="88"/>
        <v>1T1</v>
      </c>
      <c r="M584" s="13" t="s">
        <v>1645</v>
      </c>
      <c r="N584" s="7" t="s">
        <v>3505</v>
      </c>
      <c r="O584" s="13" t="s">
        <v>1327</v>
      </c>
      <c r="P584" s="115" t="s">
        <v>1646</v>
      </c>
      <c r="Q584" s="8"/>
      <c r="R584" s="2">
        <v>1</v>
      </c>
      <c r="S584" s="9">
        <v>1000</v>
      </c>
      <c r="T584" s="10">
        <f t="shared" si="86"/>
        <v>500</v>
      </c>
      <c r="U584" s="9"/>
      <c r="V584" s="10">
        <f t="shared" si="87"/>
        <v>500</v>
      </c>
      <c r="W584" s="4" t="s">
        <v>122</v>
      </c>
      <c r="X584" s="2"/>
      <c r="Y584" s="11">
        <v>3</v>
      </c>
      <c r="Z584" s="12">
        <f t="shared" si="89"/>
        <v>0</v>
      </c>
      <c r="AA584" s="4" t="s">
        <v>212</v>
      </c>
      <c r="AC584" s="176">
        <f t="shared" si="85"/>
        <v>0</v>
      </c>
      <c r="AD584"/>
    </row>
    <row r="585" spans="2:30">
      <c r="B585" s="183">
        <f t="shared" si="90"/>
        <v>17</v>
      </c>
      <c r="C585" s="107" t="str">
        <f t="shared" si="91"/>
        <v>ATK</v>
      </c>
      <c r="D585" s="2" t="s">
        <v>255</v>
      </c>
      <c r="E585" s="3">
        <v>43944</v>
      </c>
      <c r="F585" s="3">
        <v>43944</v>
      </c>
      <c r="G585" s="108">
        <f t="shared" si="92"/>
        <v>4</v>
      </c>
      <c r="H585" s="108" t="str">
        <f t="shared" si="93"/>
        <v>완료</v>
      </c>
      <c r="I585" s="112" t="s">
        <v>218</v>
      </c>
      <c r="J585" s="4" t="s">
        <v>127</v>
      </c>
      <c r="K585" s="5" t="s">
        <v>135</v>
      </c>
      <c r="L585" s="6" t="str">
        <f t="shared" si="88"/>
        <v>1T3</v>
      </c>
      <c r="M585" s="13" t="s">
        <v>256</v>
      </c>
      <c r="N585" s="7" t="s">
        <v>3529</v>
      </c>
      <c r="O585" s="13" t="s">
        <v>482</v>
      </c>
      <c r="P585" s="115" t="s">
        <v>944</v>
      </c>
      <c r="Q585" s="8"/>
      <c r="R585" s="2">
        <v>2</v>
      </c>
      <c r="S585" s="9">
        <v>1600</v>
      </c>
      <c r="T585" s="10">
        <f t="shared" si="86"/>
        <v>1600</v>
      </c>
      <c r="U585" s="9">
        <v>50</v>
      </c>
      <c r="V585" s="10">
        <f t="shared" si="87"/>
        <v>1550</v>
      </c>
      <c r="W585" s="4" t="s">
        <v>249</v>
      </c>
      <c r="X585" s="2"/>
      <c r="Y585" s="11">
        <v>4</v>
      </c>
      <c r="Z585" s="12">
        <f t="shared" si="89"/>
        <v>0</v>
      </c>
      <c r="AA585" s="4" t="s">
        <v>174</v>
      </c>
      <c r="AC585" s="176">
        <f t="shared" si="85"/>
        <v>4.5454545454545456E-2</v>
      </c>
      <c r="AD585"/>
    </row>
    <row r="586" spans="2:30">
      <c r="B586" s="183">
        <f t="shared" si="90"/>
        <v>17</v>
      </c>
      <c r="C586" s="107" t="str">
        <f t="shared" si="91"/>
        <v>ATK</v>
      </c>
      <c r="D586" s="2" t="s">
        <v>222</v>
      </c>
      <c r="E586" s="3">
        <v>43944</v>
      </c>
      <c r="F586" s="3">
        <v>43944</v>
      </c>
      <c r="G586" s="108">
        <f t="shared" si="92"/>
        <v>4</v>
      </c>
      <c r="H586" s="108" t="str">
        <f t="shared" si="93"/>
        <v>완료</v>
      </c>
      <c r="I586" s="112" t="s">
        <v>218</v>
      </c>
      <c r="J586" s="4" t="s">
        <v>132</v>
      </c>
      <c r="K586" s="5" t="s">
        <v>133</v>
      </c>
      <c r="L586" s="6" t="str">
        <f t="shared" si="88"/>
        <v>3T3</v>
      </c>
      <c r="M586" s="13" t="s">
        <v>226</v>
      </c>
      <c r="N586" s="7" t="s">
        <v>140</v>
      </c>
      <c r="O586" s="13" t="s">
        <v>1647</v>
      </c>
      <c r="P586" s="115" t="s">
        <v>1648</v>
      </c>
      <c r="Q586" s="8"/>
      <c r="R586" s="2">
        <v>1</v>
      </c>
      <c r="S586" s="9">
        <v>300</v>
      </c>
      <c r="T586" s="10">
        <f t="shared" si="86"/>
        <v>150</v>
      </c>
      <c r="U586" s="9">
        <v>0</v>
      </c>
      <c r="V586" s="10">
        <f t="shared" si="87"/>
        <v>150</v>
      </c>
      <c r="W586" s="4" t="s">
        <v>249</v>
      </c>
      <c r="X586" s="2"/>
      <c r="Y586" s="11">
        <v>2</v>
      </c>
      <c r="Z586" s="12">
        <f t="shared" si="89"/>
        <v>0</v>
      </c>
      <c r="AA586" s="4" t="s">
        <v>27</v>
      </c>
      <c r="AC586" s="176">
        <f t="shared" si="85"/>
        <v>0</v>
      </c>
      <c r="AD586"/>
    </row>
    <row r="587" spans="2:30">
      <c r="B587" s="183">
        <f t="shared" si="90"/>
        <v>17</v>
      </c>
      <c r="C587" s="107" t="str">
        <f t="shared" si="91"/>
        <v>ATK</v>
      </c>
      <c r="D587" s="2" t="s">
        <v>773</v>
      </c>
      <c r="E587" s="3">
        <v>43944</v>
      </c>
      <c r="F587" s="3">
        <v>43944</v>
      </c>
      <c r="G587" s="108">
        <f t="shared" si="92"/>
        <v>4</v>
      </c>
      <c r="H587" s="108" t="str">
        <f t="shared" si="93"/>
        <v>완료</v>
      </c>
      <c r="I587" s="112" t="s">
        <v>218</v>
      </c>
      <c r="J587" s="4" t="s">
        <v>132</v>
      </c>
      <c r="K587" s="5" t="s">
        <v>322</v>
      </c>
      <c r="L587" s="6" t="str">
        <f t="shared" si="88"/>
        <v>3T1</v>
      </c>
      <c r="M587" s="13" t="s">
        <v>1649</v>
      </c>
      <c r="N587" s="7" t="s">
        <v>3735</v>
      </c>
      <c r="O587" s="13" t="s">
        <v>1650</v>
      </c>
      <c r="P587" s="115" t="s">
        <v>1651</v>
      </c>
      <c r="Q587" s="8" t="s">
        <v>1652</v>
      </c>
      <c r="R587" s="2">
        <v>1</v>
      </c>
      <c r="S587" s="9">
        <v>1000</v>
      </c>
      <c r="T587" s="10">
        <f t="shared" si="86"/>
        <v>500</v>
      </c>
      <c r="U587" s="9">
        <v>1</v>
      </c>
      <c r="V587" s="10">
        <f t="shared" si="87"/>
        <v>499</v>
      </c>
      <c r="W587" s="4" t="s">
        <v>122</v>
      </c>
      <c r="X587" s="2"/>
      <c r="Y587" s="11">
        <v>4</v>
      </c>
      <c r="Z587" s="12">
        <f t="shared" si="89"/>
        <v>0</v>
      </c>
      <c r="AA587" s="4" t="s">
        <v>120</v>
      </c>
      <c r="AC587" s="176">
        <f t="shared" si="85"/>
        <v>9.0909090909090909E-4</v>
      </c>
      <c r="AD587"/>
    </row>
    <row r="588" spans="2:30">
      <c r="B588" s="183">
        <f t="shared" si="90"/>
        <v>17</v>
      </c>
      <c r="C588" s="107" t="str">
        <f t="shared" si="91"/>
        <v>ATK</v>
      </c>
      <c r="D588" s="2" t="s">
        <v>706</v>
      </c>
      <c r="E588" s="3">
        <v>43943</v>
      </c>
      <c r="F588" s="3">
        <v>43944</v>
      </c>
      <c r="G588" s="108">
        <f t="shared" si="92"/>
        <v>4</v>
      </c>
      <c r="H588" s="108" t="str">
        <f t="shared" si="93"/>
        <v>완료</v>
      </c>
      <c r="I588" s="112" t="s">
        <v>218</v>
      </c>
      <c r="J588" s="4" t="s">
        <v>121</v>
      </c>
      <c r="K588" s="5" t="s">
        <v>136</v>
      </c>
      <c r="L588" s="6" t="str">
        <f t="shared" si="88"/>
        <v>5T1</v>
      </c>
      <c r="M588" s="13" t="s">
        <v>1653</v>
      </c>
      <c r="N588" s="7" t="s">
        <v>3478</v>
      </c>
      <c r="O588" s="13" t="s">
        <v>1654</v>
      </c>
      <c r="P588" s="115"/>
      <c r="Q588" s="8"/>
      <c r="R588" s="2">
        <v>1</v>
      </c>
      <c r="S588" s="9">
        <v>10000</v>
      </c>
      <c r="T588" s="10">
        <f t="shared" si="86"/>
        <v>5000</v>
      </c>
      <c r="U588" s="9">
        <v>20</v>
      </c>
      <c r="V588" s="10">
        <f t="shared" si="87"/>
        <v>4980</v>
      </c>
      <c r="W588" s="4" t="s">
        <v>122</v>
      </c>
      <c r="X588" s="2"/>
      <c r="Y588" s="11">
        <v>5</v>
      </c>
      <c r="Z588" s="12">
        <f t="shared" si="89"/>
        <v>1</v>
      </c>
      <c r="AA588" s="4" t="s">
        <v>117</v>
      </c>
      <c r="AC588" s="176">
        <f t="shared" si="85"/>
        <v>1.8181818181818181E-2</v>
      </c>
      <c r="AD588"/>
    </row>
    <row r="589" spans="2:30">
      <c r="B589" s="183">
        <f t="shared" si="90"/>
        <v>17</v>
      </c>
      <c r="C589" s="107" t="str">
        <f t="shared" si="91"/>
        <v>ATK</v>
      </c>
      <c r="D589" s="2" t="s">
        <v>1655</v>
      </c>
      <c r="E589" s="3">
        <v>43944</v>
      </c>
      <c r="F589" s="3">
        <v>43944</v>
      </c>
      <c r="G589" s="108">
        <f t="shared" si="92"/>
        <v>4</v>
      </c>
      <c r="H589" s="108" t="str">
        <f t="shared" si="93"/>
        <v>완료</v>
      </c>
      <c r="I589" s="112" t="s">
        <v>218</v>
      </c>
      <c r="J589" s="4" t="s">
        <v>118</v>
      </c>
      <c r="K589" s="5" t="s">
        <v>119</v>
      </c>
      <c r="L589" s="6" t="str">
        <f t="shared" si="88"/>
        <v>2T3</v>
      </c>
      <c r="M589" s="13" t="s">
        <v>1656</v>
      </c>
      <c r="N589" s="7"/>
      <c r="O589" s="13" t="s">
        <v>1657</v>
      </c>
      <c r="P589" s="115"/>
      <c r="Q589" s="8"/>
      <c r="R589" s="2">
        <v>1</v>
      </c>
      <c r="S589" s="9">
        <v>1000</v>
      </c>
      <c r="T589" s="10">
        <f t="shared" si="86"/>
        <v>500</v>
      </c>
      <c r="U589" s="9">
        <v>1</v>
      </c>
      <c r="V589" s="10">
        <f t="shared" si="87"/>
        <v>499</v>
      </c>
      <c r="W589" s="4" t="s">
        <v>122</v>
      </c>
      <c r="X589" s="2"/>
      <c r="Y589" s="11">
        <v>1</v>
      </c>
      <c r="Z589" s="12">
        <f t="shared" si="89"/>
        <v>0</v>
      </c>
      <c r="AA589" s="4" t="s">
        <v>117</v>
      </c>
      <c r="AC589" s="176">
        <f t="shared" si="85"/>
        <v>9.0909090909090909E-4</v>
      </c>
      <c r="AD589"/>
    </row>
    <row r="590" spans="2:30">
      <c r="B590" s="183">
        <f t="shared" si="90"/>
        <v>17</v>
      </c>
      <c r="C590" s="107" t="str">
        <f t="shared" si="91"/>
        <v>ATK</v>
      </c>
      <c r="D590" s="2" t="s">
        <v>291</v>
      </c>
      <c r="E590" s="3">
        <v>43944</v>
      </c>
      <c r="F590" s="3">
        <v>43944</v>
      </c>
      <c r="G590" s="108">
        <f t="shared" si="92"/>
        <v>4</v>
      </c>
      <c r="H590" s="108" t="str">
        <f t="shared" si="93"/>
        <v>완료</v>
      </c>
      <c r="I590" s="112" t="s">
        <v>218</v>
      </c>
      <c r="J590" s="4" t="s">
        <v>265</v>
      </c>
      <c r="K590" s="5" t="s">
        <v>793</v>
      </c>
      <c r="L590" s="6" t="str">
        <f t="shared" si="88"/>
        <v>3T3</v>
      </c>
      <c r="M590" s="13" t="s">
        <v>207</v>
      </c>
      <c r="N590" s="7" t="s">
        <v>3736</v>
      </c>
      <c r="O590" s="13" t="s">
        <v>339</v>
      </c>
      <c r="P590" s="115" t="s">
        <v>1658</v>
      </c>
      <c r="Q590" s="8"/>
      <c r="R590" s="2">
        <v>1</v>
      </c>
      <c r="S590" s="9">
        <v>1200</v>
      </c>
      <c r="T590" s="10">
        <f t="shared" si="86"/>
        <v>600</v>
      </c>
      <c r="U590" s="9">
        <v>100</v>
      </c>
      <c r="V590" s="10">
        <f t="shared" si="87"/>
        <v>500</v>
      </c>
      <c r="W590" s="4" t="s">
        <v>249</v>
      </c>
      <c r="X590" s="2"/>
      <c r="Y590" s="11">
        <v>3</v>
      </c>
      <c r="Z590" s="12">
        <f t="shared" si="89"/>
        <v>0</v>
      </c>
      <c r="AA590" s="4" t="s">
        <v>174</v>
      </c>
      <c r="AC590" s="176">
        <f t="shared" si="85"/>
        <v>9.0909090909090912E-2</v>
      </c>
      <c r="AD590"/>
    </row>
    <row r="591" spans="2:30">
      <c r="B591" s="183">
        <f t="shared" si="90"/>
        <v>18</v>
      </c>
      <c r="C591" s="107" t="str">
        <f t="shared" si="91"/>
        <v>ATK</v>
      </c>
      <c r="D591" s="2" t="s">
        <v>291</v>
      </c>
      <c r="E591" s="3">
        <v>43944</v>
      </c>
      <c r="F591" s="3">
        <v>43948</v>
      </c>
      <c r="G591" s="108">
        <f t="shared" si="92"/>
        <v>4</v>
      </c>
      <c r="H591" s="108" t="str">
        <f t="shared" si="93"/>
        <v>완료</v>
      </c>
      <c r="I591" s="112" t="s">
        <v>218</v>
      </c>
      <c r="J591" s="4" t="s">
        <v>265</v>
      </c>
      <c r="K591" s="5" t="s">
        <v>793</v>
      </c>
      <c r="L591" s="6" t="str">
        <f t="shared" si="88"/>
        <v>3T3</v>
      </c>
      <c r="M591" s="13" t="s">
        <v>207</v>
      </c>
      <c r="N591" s="7" t="s">
        <v>3736</v>
      </c>
      <c r="O591" s="13" t="s">
        <v>339</v>
      </c>
      <c r="P591" s="115" t="s">
        <v>1659</v>
      </c>
      <c r="Q591" s="8"/>
      <c r="R591" s="2">
        <v>1</v>
      </c>
      <c r="S591" s="9">
        <v>1200</v>
      </c>
      <c r="T591" s="10">
        <f t="shared" si="86"/>
        <v>600</v>
      </c>
      <c r="U591" s="9">
        <v>0</v>
      </c>
      <c r="V591" s="10">
        <f t="shared" si="87"/>
        <v>600</v>
      </c>
      <c r="W591" s="4" t="s">
        <v>249</v>
      </c>
      <c r="X591" s="2"/>
      <c r="Y591" s="11">
        <v>3</v>
      </c>
      <c r="Z591" s="12">
        <f t="shared" si="89"/>
        <v>4</v>
      </c>
      <c r="AA591" s="4" t="s">
        <v>174</v>
      </c>
      <c r="AC591" s="176">
        <f t="shared" si="85"/>
        <v>0</v>
      </c>
      <c r="AD591"/>
    </row>
    <row r="592" spans="2:30">
      <c r="B592" s="183">
        <f t="shared" si="90"/>
        <v>17</v>
      </c>
      <c r="C592" s="107" t="str">
        <f t="shared" si="91"/>
        <v>ATK</v>
      </c>
      <c r="D592" s="2" t="s">
        <v>238</v>
      </c>
      <c r="E592" s="3">
        <v>43945</v>
      </c>
      <c r="F592" s="3">
        <v>43945</v>
      </c>
      <c r="G592" s="108">
        <f t="shared" si="92"/>
        <v>4</v>
      </c>
      <c r="H592" s="108" t="str">
        <f t="shared" si="93"/>
        <v>Other</v>
      </c>
      <c r="I592" s="112" t="s">
        <v>660</v>
      </c>
      <c r="J592" s="4" t="s">
        <v>265</v>
      </c>
      <c r="K592" s="5" t="s">
        <v>266</v>
      </c>
      <c r="L592" s="6" t="str">
        <f t="shared" si="88"/>
        <v>3T4</v>
      </c>
      <c r="M592" s="13" t="s">
        <v>207</v>
      </c>
      <c r="N592" s="7" t="s">
        <v>3588</v>
      </c>
      <c r="O592" s="13" t="s">
        <v>339</v>
      </c>
      <c r="P592" s="115" t="s">
        <v>1661</v>
      </c>
      <c r="Q592" s="8"/>
      <c r="R592" s="2">
        <v>1</v>
      </c>
      <c r="S592" s="9">
        <v>3000</v>
      </c>
      <c r="T592" s="10">
        <f t="shared" si="86"/>
        <v>1500</v>
      </c>
      <c r="U592" s="9">
        <v>0</v>
      </c>
      <c r="V592" s="10">
        <f t="shared" si="87"/>
        <v>1500</v>
      </c>
      <c r="W592" s="4" t="s">
        <v>249</v>
      </c>
      <c r="X592" s="2"/>
      <c r="Y592" s="11">
        <v>4</v>
      </c>
      <c r="Z592" s="12">
        <f t="shared" si="89"/>
        <v>0</v>
      </c>
      <c r="AA592" s="4" t="s">
        <v>174</v>
      </c>
      <c r="AC592" s="176">
        <f t="shared" si="85"/>
        <v>0</v>
      </c>
      <c r="AD592"/>
    </row>
    <row r="593" spans="2:30">
      <c r="B593" s="183">
        <f t="shared" si="90"/>
        <v>20</v>
      </c>
      <c r="C593" s="107" t="str">
        <f t="shared" si="91"/>
        <v>ATK</v>
      </c>
      <c r="D593" s="2" t="s">
        <v>1828</v>
      </c>
      <c r="E593" s="3">
        <v>43945</v>
      </c>
      <c r="F593" s="3">
        <v>43964</v>
      </c>
      <c r="G593" s="108">
        <f t="shared" si="92"/>
        <v>5</v>
      </c>
      <c r="H593" s="108" t="str">
        <f t="shared" si="93"/>
        <v>완료</v>
      </c>
      <c r="I593" s="112" t="s">
        <v>514</v>
      </c>
      <c r="J593" s="4" t="s">
        <v>281</v>
      </c>
      <c r="K593" s="5" t="s">
        <v>332</v>
      </c>
      <c r="L593" s="6" t="str">
        <f t="shared" si="88"/>
        <v>EE2</v>
      </c>
      <c r="M593" s="13" t="s">
        <v>256</v>
      </c>
      <c r="N593" s="7" t="s">
        <v>3529</v>
      </c>
      <c r="O593" s="13" t="s">
        <v>333</v>
      </c>
      <c r="P593" s="115" t="s">
        <v>1827</v>
      </c>
      <c r="Q593" s="8" t="s">
        <v>1660</v>
      </c>
      <c r="R593" s="2">
        <v>1</v>
      </c>
      <c r="S593" s="9">
        <v>3500</v>
      </c>
      <c r="T593" s="10">
        <f t="shared" si="86"/>
        <v>1750</v>
      </c>
      <c r="U593" s="9">
        <v>790</v>
      </c>
      <c r="V593" s="10">
        <f t="shared" si="87"/>
        <v>960</v>
      </c>
      <c r="W593" s="4" t="s">
        <v>123</v>
      </c>
      <c r="X593" s="2" t="s">
        <v>34</v>
      </c>
      <c r="Y593" s="11">
        <v>6</v>
      </c>
      <c r="Z593" s="12">
        <f t="shared" si="89"/>
        <v>19</v>
      </c>
      <c r="AA593" s="4" t="s">
        <v>212</v>
      </c>
      <c r="AC593" s="176">
        <f t="shared" si="85"/>
        <v>0.71818181818181814</v>
      </c>
      <c r="AD593"/>
    </row>
    <row r="594" spans="2:30">
      <c r="B594" s="183">
        <f t="shared" si="90"/>
        <v>17</v>
      </c>
      <c r="C594" s="107" t="str">
        <f t="shared" si="91"/>
        <v>ATK</v>
      </c>
      <c r="D594" s="2" t="s">
        <v>217</v>
      </c>
      <c r="E594" s="3">
        <v>43902</v>
      </c>
      <c r="F594" s="3">
        <v>43945</v>
      </c>
      <c r="G594" s="108">
        <f t="shared" si="92"/>
        <v>4</v>
      </c>
      <c r="H594" s="108" t="str">
        <f t="shared" si="93"/>
        <v>완료</v>
      </c>
      <c r="I594" s="112" t="s">
        <v>218</v>
      </c>
      <c r="J594" s="4" t="s">
        <v>127</v>
      </c>
      <c r="K594" s="5" t="s">
        <v>131</v>
      </c>
      <c r="L594" s="6" t="str">
        <f t="shared" si="88"/>
        <v>1T4</v>
      </c>
      <c r="M594" s="13" t="s">
        <v>1662</v>
      </c>
      <c r="N594" s="7" t="s">
        <v>3737</v>
      </c>
      <c r="O594" s="13" t="s">
        <v>1663</v>
      </c>
      <c r="P594" s="115" t="s">
        <v>1664</v>
      </c>
      <c r="Q594" s="8"/>
      <c r="R594" s="2">
        <v>1</v>
      </c>
      <c r="S594" s="9">
        <v>8000</v>
      </c>
      <c r="T594" s="10">
        <f t="shared" si="86"/>
        <v>4000</v>
      </c>
      <c r="U594" s="9">
        <v>1</v>
      </c>
      <c r="V594" s="10">
        <f t="shared" si="87"/>
        <v>3999</v>
      </c>
      <c r="W594" s="4" t="s">
        <v>122</v>
      </c>
      <c r="X594" s="2"/>
      <c r="Y594" s="11">
        <v>4</v>
      </c>
      <c r="Z594" s="12">
        <f t="shared" si="89"/>
        <v>43</v>
      </c>
      <c r="AA594" s="4" t="s">
        <v>120</v>
      </c>
      <c r="AC594" s="176">
        <f t="shared" si="85"/>
        <v>9.0909090909090909E-4</v>
      </c>
      <c r="AD594"/>
    </row>
    <row r="595" spans="2:30">
      <c r="B595" s="183">
        <f t="shared" si="90"/>
        <v>17</v>
      </c>
      <c r="C595" s="107" t="str">
        <f t="shared" si="91"/>
        <v>ATK</v>
      </c>
      <c r="D595" s="2" t="s">
        <v>1665</v>
      </c>
      <c r="E595" s="3">
        <v>43945</v>
      </c>
      <c r="F595" s="3">
        <v>43945</v>
      </c>
      <c r="G595" s="108">
        <f t="shared" si="92"/>
        <v>4</v>
      </c>
      <c r="H595" s="108" t="str">
        <f t="shared" si="93"/>
        <v>완료</v>
      </c>
      <c r="I595" s="112" t="s">
        <v>218</v>
      </c>
      <c r="J595" s="4" t="s">
        <v>1666</v>
      </c>
      <c r="K595" s="5" t="s">
        <v>1667</v>
      </c>
      <c r="L595" s="6" t="str">
        <f t="shared" si="88"/>
        <v>EE2</v>
      </c>
      <c r="M595" s="13" t="s">
        <v>256</v>
      </c>
      <c r="N595" s="7" t="s">
        <v>3624</v>
      </c>
      <c r="O595" s="13" t="s">
        <v>985</v>
      </c>
      <c r="P595" s="115"/>
      <c r="Q595" s="8"/>
      <c r="R595" s="2">
        <v>1</v>
      </c>
      <c r="S595" s="9">
        <v>500</v>
      </c>
      <c r="T595" s="10">
        <f t="shared" si="86"/>
        <v>250</v>
      </c>
      <c r="U595" s="9">
        <v>100</v>
      </c>
      <c r="V595" s="10">
        <f t="shared" si="87"/>
        <v>150</v>
      </c>
      <c r="W595" s="4" t="s">
        <v>122</v>
      </c>
      <c r="X595" s="2"/>
      <c r="Y595" s="11">
        <v>1</v>
      </c>
      <c r="Z595" s="12">
        <f t="shared" si="89"/>
        <v>0</v>
      </c>
      <c r="AA595" s="4" t="s">
        <v>1668</v>
      </c>
      <c r="AC595" s="176">
        <f t="shared" si="85"/>
        <v>9.0909090909090912E-2</v>
      </c>
      <c r="AD595"/>
    </row>
    <row r="596" spans="2:30">
      <c r="B596" s="183">
        <f t="shared" si="90"/>
        <v>18</v>
      </c>
      <c r="C596" s="107" t="str">
        <f t="shared" si="91"/>
        <v>ATK</v>
      </c>
      <c r="D596" s="2" t="s">
        <v>1669</v>
      </c>
      <c r="E596" s="3">
        <v>43948</v>
      </c>
      <c r="F596" s="3">
        <v>43948</v>
      </c>
      <c r="G596" s="108">
        <f t="shared" si="92"/>
        <v>4</v>
      </c>
      <c r="H596" s="108" t="str">
        <f t="shared" si="93"/>
        <v>완료</v>
      </c>
      <c r="I596" s="112" t="s">
        <v>1670</v>
      </c>
      <c r="J596" s="4" t="s">
        <v>121</v>
      </c>
      <c r="K596" s="5" t="s">
        <v>136</v>
      </c>
      <c r="L596" s="6" t="str">
        <f t="shared" si="88"/>
        <v>5T1</v>
      </c>
      <c r="M596" s="13" t="s">
        <v>226</v>
      </c>
      <c r="N596" s="7" t="s">
        <v>140</v>
      </c>
      <c r="O596" s="13" t="s">
        <v>225</v>
      </c>
      <c r="P596" s="115" t="s">
        <v>1681</v>
      </c>
      <c r="Q596" s="8"/>
      <c r="R596" s="2">
        <v>1</v>
      </c>
      <c r="S596" s="9">
        <v>2000</v>
      </c>
      <c r="T596" s="10">
        <f t="shared" si="86"/>
        <v>1000</v>
      </c>
      <c r="U596" s="9">
        <v>0</v>
      </c>
      <c r="V596" s="10">
        <f t="shared" si="87"/>
        <v>1000</v>
      </c>
      <c r="W596" s="4" t="s">
        <v>122</v>
      </c>
      <c r="X596" s="2"/>
      <c r="Y596" s="11">
        <v>2</v>
      </c>
      <c r="Z596" s="12">
        <f t="shared" si="89"/>
        <v>0</v>
      </c>
      <c r="AA596" s="4" t="s">
        <v>174</v>
      </c>
      <c r="AC596" s="176">
        <f t="shared" si="85"/>
        <v>0</v>
      </c>
      <c r="AD596"/>
    </row>
    <row r="597" spans="2:30">
      <c r="B597" s="183">
        <f t="shared" si="90"/>
        <v>18</v>
      </c>
      <c r="C597" s="107" t="str">
        <f t="shared" si="91"/>
        <v>ATK</v>
      </c>
      <c r="D597" s="2" t="s">
        <v>1671</v>
      </c>
      <c r="E597" s="3">
        <v>43948</v>
      </c>
      <c r="F597" s="3">
        <v>43948</v>
      </c>
      <c r="G597" s="108">
        <f t="shared" si="92"/>
        <v>4</v>
      </c>
      <c r="H597" s="108" t="str">
        <f t="shared" si="93"/>
        <v>완료</v>
      </c>
      <c r="I597" s="112" t="s">
        <v>218</v>
      </c>
      <c r="J597" s="4" t="s">
        <v>115</v>
      </c>
      <c r="K597" s="5" t="s">
        <v>116</v>
      </c>
      <c r="L597" s="6" t="str">
        <f t="shared" si="88"/>
        <v>EE2</v>
      </c>
      <c r="M597" s="13" t="s">
        <v>1672</v>
      </c>
      <c r="N597" s="7"/>
      <c r="O597" s="13" t="s">
        <v>1673</v>
      </c>
      <c r="P597" s="115" t="s">
        <v>1674</v>
      </c>
      <c r="Q597" s="8"/>
      <c r="R597" s="2">
        <v>1</v>
      </c>
      <c r="S597" s="9">
        <v>2000</v>
      </c>
      <c r="T597" s="10">
        <f t="shared" si="86"/>
        <v>1000</v>
      </c>
      <c r="U597" s="9"/>
      <c r="V597" s="10">
        <f t="shared" si="87"/>
        <v>1000</v>
      </c>
      <c r="W597" s="4" t="s">
        <v>1676</v>
      </c>
      <c r="X597" s="2"/>
      <c r="Y597" s="11">
        <v>4</v>
      </c>
      <c r="Z597" s="12">
        <f t="shared" si="89"/>
        <v>0</v>
      </c>
      <c r="AA597" s="4" t="s">
        <v>259</v>
      </c>
      <c r="AC597" s="176">
        <f t="shared" si="85"/>
        <v>0</v>
      </c>
      <c r="AD597"/>
    </row>
    <row r="598" spans="2:30">
      <c r="B598" s="183">
        <f t="shared" si="90"/>
        <v>18</v>
      </c>
      <c r="C598" s="107" t="str">
        <f t="shared" si="91"/>
        <v>ATK</v>
      </c>
      <c r="D598" s="2" t="s">
        <v>1675</v>
      </c>
      <c r="E598" s="3">
        <v>43948</v>
      </c>
      <c r="F598" s="3">
        <v>43949</v>
      </c>
      <c r="G598" s="108">
        <f t="shared" si="92"/>
        <v>4</v>
      </c>
      <c r="H598" s="108" t="str">
        <f t="shared" si="93"/>
        <v>완료</v>
      </c>
      <c r="I598" s="112" t="s">
        <v>218</v>
      </c>
      <c r="J598" s="4" t="s">
        <v>118</v>
      </c>
      <c r="K598" s="5" t="s">
        <v>119</v>
      </c>
      <c r="L598" s="6" t="str">
        <f t="shared" si="88"/>
        <v>2T3</v>
      </c>
      <c r="M598" s="13" t="s">
        <v>270</v>
      </c>
      <c r="N598" s="7" t="s">
        <v>3598</v>
      </c>
      <c r="O598" s="13" t="s">
        <v>270</v>
      </c>
      <c r="P598" s="115" t="s">
        <v>271</v>
      </c>
      <c r="Q598" s="8" t="s">
        <v>1716</v>
      </c>
      <c r="R598" s="2">
        <v>1</v>
      </c>
      <c r="S598" s="9">
        <v>1500</v>
      </c>
      <c r="T598" s="10">
        <f t="shared" si="86"/>
        <v>750</v>
      </c>
      <c r="U598" s="9">
        <v>0</v>
      </c>
      <c r="V598" s="10">
        <f t="shared" si="87"/>
        <v>750</v>
      </c>
      <c r="W598" s="4" t="s">
        <v>122</v>
      </c>
      <c r="X598" s="2"/>
      <c r="Y598" s="11">
        <v>3</v>
      </c>
      <c r="Z598" s="12">
        <f t="shared" si="89"/>
        <v>1</v>
      </c>
      <c r="AA598" s="4" t="s">
        <v>1677</v>
      </c>
      <c r="AC598" s="176">
        <f t="shared" si="85"/>
        <v>0</v>
      </c>
      <c r="AD598"/>
    </row>
    <row r="599" spans="2:30">
      <c r="B599" s="183">
        <f t="shared" si="90"/>
        <v>18</v>
      </c>
      <c r="C599" s="107" t="str">
        <f t="shared" si="91"/>
        <v>ATK</v>
      </c>
      <c r="D599" s="2" t="s">
        <v>1678</v>
      </c>
      <c r="E599" s="3">
        <v>43947</v>
      </c>
      <c r="F599" s="3">
        <v>43949</v>
      </c>
      <c r="G599" s="108">
        <f t="shared" si="92"/>
        <v>4</v>
      </c>
      <c r="H599" s="108" t="str">
        <f t="shared" si="93"/>
        <v>완료</v>
      </c>
      <c r="I599" s="112" t="s">
        <v>218</v>
      </c>
      <c r="J599" s="4" t="s">
        <v>127</v>
      </c>
      <c r="K599" s="5" t="s">
        <v>135</v>
      </c>
      <c r="L599" s="6" t="str">
        <f t="shared" si="88"/>
        <v>1T3</v>
      </c>
      <c r="M599" s="13" t="s">
        <v>1679</v>
      </c>
      <c r="N599" s="7" t="s">
        <v>3483</v>
      </c>
      <c r="O599" s="13" t="s">
        <v>207</v>
      </c>
      <c r="P599" s="115" t="s">
        <v>1680</v>
      </c>
      <c r="Q599" s="8"/>
      <c r="R599" s="2">
        <v>1</v>
      </c>
      <c r="S599" s="9">
        <v>400</v>
      </c>
      <c r="T599" s="10">
        <f t="shared" si="86"/>
        <v>200</v>
      </c>
      <c r="U599" s="9">
        <v>15</v>
      </c>
      <c r="V599" s="10">
        <f t="shared" si="87"/>
        <v>185</v>
      </c>
      <c r="W599" s="4" t="s">
        <v>1676</v>
      </c>
      <c r="X599" s="2"/>
      <c r="Y599" s="11">
        <v>2</v>
      </c>
      <c r="Z599" s="12">
        <f t="shared" si="89"/>
        <v>2</v>
      </c>
      <c r="AA599" s="4" t="s">
        <v>1677</v>
      </c>
      <c r="AC599" s="176">
        <f t="shared" si="85"/>
        <v>1.3636363636363636E-2</v>
      </c>
      <c r="AD599"/>
    </row>
    <row r="600" spans="2:30">
      <c r="B600" s="183">
        <f t="shared" si="90"/>
        <v>18</v>
      </c>
      <c r="C600" s="107" t="str">
        <f t="shared" si="91"/>
        <v>ATK</v>
      </c>
      <c r="D600" s="2" t="s">
        <v>455</v>
      </c>
      <c r="E600" s="3">
        <v>43945</v>
      </c>
      <c r="F600" s="3">
        <v>43948</v>
      </c>
      <c r="G600" s="108">
        <f t="shared" si="92"/>
        <v>4</v>
      </c>
      <c r="H600" s="108" t="str">
        <f t="shared" si="93"/>
        <v>완료</v>
      </c>
      <c r="I600" s="112" t="s">
        <v>218</v>
      </c>
      <c r="J600" s="4" t="s">
        <v>118</v>
      </c>
      <c r="K600" s="5" t="s">
        <v>119</v>
      </c>
      <c r="L600" s="6" t="str">
        <f t="shared" si="88"/>
        <v>2T3</v>
      </c>
      <c r="M600" s="13" t="s">
        <v>730</v>
      </c>
      <c r="N600" s="7" t="s">
        <v>3491</v>
      </c>
      <c r="O600" s="13" t="s">
        <v>1682</v>
      </c>
      <c r="P600" s="115"/>
      <c r="Q600" s="8"/>
      <c r="R600" s="2">
        <v>3</v>
      </c>
      <c r="S600" s="9">
        <v>5000</v>
      </c>
      <c r="T600" s="10">
        <f t="shared" si="86"/>
        <v>7500</v>
      </c>
      <c r="U600" s="9">
        <v>15</v>
      </c>
      <c r="V600" s="10">
        <f t="shared" si="87"/>
        <v>7485</v>
      </c>
      <c r="W600" s="4" t="s">
        <v>122</v>
      </c>
      <c r="X600" s="2"/>
      <c r="Y600" s="11">
        <v>10</v>
      </c>
      <c r="Z600" s="12">
        <f t="shared" si="89"/>
        <v>3</v>
      </c>
      <c r="AA600" s="4" t="s">
        <v>117</v>
      </c>
      <c r="AC600" s="176">
        <f t="shared" si="85"/>
        <v>1.3636363636363636E-2</v>
      </c>
      <c r="AD600"/>
    </row>
    <row r="601" spans="2:30">
      <c r="B601" s="183">
        <f t="shared" si="90"/>
        <v>18</v>
      </c>
      <c r="C601" s="107" t="str">
        <f t="shared" si="91"/>
        <v>ATK</v>
      </c>
      <c r="D601" s="2" t="s">
        <v>704</v>
      </c>
      <c r="E601" s="3">
        <v>43899</v>
      </c>
      <c r="F601" s="3">
        <v>43948</v>
      </c>
      <c r="G601" s="108">
        <f t="shared" si="92"/>
        <v>4</v>
      </c>
      <c r="H601" s="108" t="str">
        <f t="shared" si="93"/>
        <v>완료</v>
      </c>
      <c r="I601" s="112" t="s">
        <v>218</v>
      </c>
      <c r="J601" s="4" t="s">
        <v>127</v>
      </c>
      <c r="K601" s="5" t="s">
        <v>131</v>
      </c>
      <c r="L601" s="6" t="str">
        <f t="shared" si="88"/>
        <v>1T4</v>
      </c>
      <c r="M601" s="13" t="s">
        <v>1144</v>
      </c>
      <c r="N601" s="7" t="s">
        <v>140</v>
      </c>
      <c r="O601" s="13" t="s">
        <v>461</v>
      </c>
      <c r="P601" s="115" t="s">
        <v>1683</v>
      </c>
      <c r="Q601" s="8"/>
      <c r="R601" s="2">
        <v>1</v>
      </c>
      <c r="S601" s="9">
        <v>1200</v>
      </c>
      <c r="T601" s="10">
        <f t="shared" si="86"/>
        <v>600</v>
      </c>
      <c r="U601" s="9">
        <v>30</v>
      </c>
      <c r="V601" s="10">
        <f t="shared" si="87"/>
        <v>570</v>
      </c>
      <c r="W601" s="4" t="s">
        <v>122</v>
      </c>
      <c r="X601" s="2"/>
      <c r="Y601" s="11">
        <v>8</v>
      </c>
      <c r="Z601" s="12">
        <f t="shared" si="89"/>
        <v>49</v>
      </c>
      <c r="AA601" s="4" t="s">
        <v>27</v>
      </c>
      <c r="AC601" s="176">
        <f t="shared" si="85"/>
        <v>2.7272727272727271E-2</v>
      </c>
      <c r="AD601"/>
    </row>
    <row r="602" spans="2:30">
      <c r="B602" s="183">
        <f t="shared" si="90"/>
        <v>18</v>
      </c>
      <c r="C602" s="107" t="str">
        <f t="shared" si="91"/>
        <v>ATK</v>
      </c>
      <c r="D602" s="2" t="s">
        <v>1684</v>
      </c>
      <c r="E602" s="3">
        <v>43948</v>
      </c>
      <c r="F602" s="3">
        <v>43950</v>
      </c>
      <c r="G602" s="108">
        <f t="shared" si="92"/>
        <v>4</v>
      </c>
      <c r="H602" s="108" t="str">
        <f t="shared" si="93"/>
        <v>완료</v>
      </c>
      <c r="I602" s="112" t="s">
        <v>218</v>
      </c>
      <c r="J602" s="4" t="s">
        <v>808</v>
      </c>
      <c r="K602" s="5" t="s">
        <v>833</v>
      </c>
      <c r="L602" s="6" t="str">
        <f t="shared" si="88"/>
        <v>1T3</v>
      </c>
      <c r="M602" s="13" t="s">
        <v>1688</v>
      </c>
      <c r="N602" s="7" t="s">
        <v>3738</v>
      </c>
      <c r="O602" s="13" t="s">
        <v>225</v>
      </c>
      <c r="P602" s="115" t="s">
        <v>1685</v>
      </c>
      <c r="Q602" s="8"/>
      <c r="R602" s="2">
        <v>1</v>
      </c>
      <c r="S602" s="9">
        <v>3000</v>
      </c>
      <c r="T602" s="10">
        <f t="shared" si="86"/>
        <v>1500</v>
      </c>
      <c r="U602" s="9">
        <v>25</v>
      </c>
      <c r="V602" s="10">
        <f t="shared" si="87"/>
        <v>1475</v>
      </c>
      <c r="W602" s="4" t="s">
        <v>1715</v>
      </c>
      <c r="X602" s="2"/>
      <c r="Y602" s="11">
        <v>8</v>
      </c>
      <c r="Z602" s="12">
        <f t="shared" si="89"/>
        <v>2</v>
      </c>
      <c r="AA602" s="4" t="s">
        <v>1686</v>
      </c>
      <c r="AC602" s="176">
        <f t="shared" si="85"/>
        <v>2.2727272727272728E-2</v>
      </c>
      <c r="AD602"/>
    </row>
    <row r="603" spans="2:30">
      <c r="B603" s="183">
        <f t="shared" si="90"/>
        <v>18</v>
      </c>
      <c r="C603" s="107" t="str">
        <f t="shared" si="91"/>
        <v>ATK</v>
      </c>
      <c r="D603" s="2" t="s">
        <v>1689</v>
      </c>
      <c r="E603" s="3">
        <v>43948</v>
      </c>
      <c r="F603" s="3">
        <v>43948</v>
      </c>
      <c r="G603" s="108">
        <f t="shared" si="92"/>
        <v>4</v>
      </c>
      <c r="H603" s="108" t="str">
        <f t="shared" si="93"/>
        <v>완료</v>
      </c>
      <c r="I603" s="112" t="s">
        <v>218</v>
      </c>
      <c r="J603" s="4" t="s">
        <v>127</v>
      </c>
      <c r="K603" s="5" t="s">
        <v>131</v>
      </c>
      <c r="L603" s="6" t="str">
        <f t="shared" si="88"/>
        <v>1T4</v>
      </c>
      <c r="M603" s="13" t="s">
        <v>1690</v>
      </c>
      <c r="N603" s="7"/>
      <c r="O603" s="13" t="s">
        <v>1691</v>
      </c>
      <c r="P603" s="115" t="s">
        <v>1692</v>
      </c>
      <c r="Q603" s="8"/>
      <c r="R603" s="2">
        <v>4</v>
      </c>
      <c r="S603" s="9">
        <v>300</v>
      </c>
      <c r="T603" s="10">
        <f t="shared" si="86"/>
        <v>600</v>
      </c>
      <c r="U603" s="9">
        <v>10</v>
      </c>
      <c r="V603" s="10">
        <f t="shared" si="87"/>
        <v>590</v>
      </c>
      <c r="W603" s="4" t="s">
        <v>122</v>
      </c>
      <c r="X603" s="2"/>
      <c r="Y603" s="11">
        <v>4</v>
      </c>
      <c r="Z603" s="12">
        <f t="shared" si="89"/>
        <v>0</v>
      </c>
      <c r="AA603" s="4" t="s">
        <v>259</v>
      </c>
      <c r="AC603" s="176">
        <f t="shared" si="85"/>
        <v>9.0909090909090905E-3</v>
      </c>
      <c r="AD603"/>
    </row>
    <row r="604" spans="2:30">
      <c r="B604" s="183">
        <f t="shared" si="90"/>
        <v>18</v>
      </c>
      <c r="C604" s="107" t="str">
        <f t="shared" si="91"/>
        <v>ATK</v>
      </c>
      <c r="D604" s="2" t="s">
        <v>1693</v>
      </c>
      <c r="E604" s="3">
        <v>43948</v>
      </c>
      <c r="F604" s="3">
        <v>43948</v>
      </c>
      <c r="G604" s="108">
        <f t="shared" si="92"/>
        <v>4</v>
      </c>
      <c r="H604" s="108" t="str">
        <f t="shared" si="93"/>
        <v>완료</v>
      </c>
      <c r="I604" s="112" t="s">
        <v>218</v>
      </c>
      <c r="J604" s="4" t="s">
        <v>173</v>
      </c>
      <c r="K604" s="5" t="s">
        <v>135</v>
      </c>
      <c r="L604" s="6" t="str">
        <f t="shared" si="88"/>
        <v>1T3</v>
      </c>
      <c r="M604" s="13" t="s">
        <v>1174</v>
      </c>
      <c r="N604" s="7" t="s">
        <v>3739</v>
      </c>
      <c r="O604" s="13" t="s">
        <v>1694</v>
      </c>
      <c r="P604" s="115"/>
      <c r="Q604" s="8"/>
      <c r="R604" s="2">
        <v>1</v>
      </c>
      <c r="S604" s="9">
        <v>500</v>
      </c>
      <c r="T604" s="10">
        <f t="shared" si="86"/>
        <v>250</v>
      </c>
      <c r="U604" s="9">
        <v>0</v>
      </c>
      <c r="V604" s="10">
        <f t="shared" si="87"/>
        <v>250</v>
      </c>
      <c r="W604" s="4" t="s">
        <v>122</v>
      </c>
      <c r="X604" s="2"/>
      <c r="Y604" s="11">
        <v>2</v>
      </c>
      <c r="Z604" s="12">
        <f t="shared" si="89"/>
        <v>0</v>
      </c>
      <c r="AA604" s="4" t="s">
        <v>117</v>
      </c>
      <c r="AC604" s="176">
        <f t="shared" si="85"/>
        <v>0</v>
      </c>
      <c r="AD604"/>
    </row>
    <row r="605" spans="2:30">
      <c r="B605" s="183">
        <f t="shared" si="90"/>
        <v>18</v>
      </c>
      <c r="C605" s="107" t="str">
        <f t="shared" si="91"/>
        <v>ATK</v>
      </c>
      <c r="D605" s="2" t="s">
        <v>541</v>
      </c>
      <c r="E605" s="3">
        <v>43948</v>
      </c>
      <c r="F605" s="3">
        <v>43948</v>
      </c>
      <c r="G605" s="108">
        <f t="shared" si="92"/>
        <v>4</v>
      </c>
      <c r="H605" s="108" t="str">
        <f t="shared" si="93"/>
        <v>완료</v>
      </c>
      <c r="I605" s="112" t="s">
        <v>218</v>
      </c>
      <c r="J605" s="4" t="s">
        <v>132</v>
      </c>
      <c r="K605" s="5" t="s">
        <v>119</v>
      </c>
      <c r="L605" s="6" t="str">
        <f t="shared" si="88"/>
        <v>2T3</v>
      </c>
      <c r="M605" s="13" t="s">
        <v>813</v>
      </c>
      <c r="N605" s="13" t="s">
        <v>3648</v>
      </c>
      <c r="O605" s="7" t="s">
        <v>1695</v>
      </c>
      <c r="P605" s="115" t="s">
        <v>1696</v>
      </c>
      <c r="Q605" s="8" t="s">
        <v>500</v>
      </c>
      <c r="R605" s="2">
        <v>1</v>
      </c>
      <c r="S605" s="9">
        <v>18000</v>
      </c>
      <c r="T605" s="10">
        <f t="shared" si="86"/>
        <v>9000</v>
      </c>
      <c r="U605" s="9">
        <v>20</v>
      </c>
      <c r="V605" s="10">
        <f t="shared" si="87"/>
        <v>8980</v>
      </c>
      <c r="W605" s="4" t="s">
        <v>122</v>
      </c>
      <c r="X605" s="2"/>
      <c r="Y605" s="11">
        <v>2</v>
      </c>
      <c r="Z605" s="12">
        <f t="shared" si="89"/>
        <v>0</v>
      </c>
      <c r="AA605" s="4" t="s">
        <v>30</v>
      </c>
      <c r="AC605" s="176">
        <f t="shared" si="85"/>
        <v>1.8181818181818181E-2</v>
      </c>
      <c r="AD605"/>
    </row>
    <row r="606" spans="2:30">
      <c r="B606" s="183">
        <f t="shared" si="90"/>
        <v>18</v>
      </c>
      <c r="C606" s="107" t="str">
        <f t="shared" si="91"/>
        <v>ATK</v>
      </c>
      <c r="D606" s="2" t="s">
        <v>463</v>
      </c>
      <c r="E606" s="3">
        <v>43949</v>
      </c>
      <c r="F606" s="3">
        <v>43949</v>
      </c>
      <c r="G606" s="108">
        <f t="shared" si="92"/>
        <v>4</v>
      </c>
      <c r="H606" s="108" t="str">
        <f t="shared" si="93"/>
        <v>완료</v>
      </c>
      <c r="I606" s="112" t="s">
        <v>218</v>
      </c>
      <c r="J606" s="4" t="s">
        <v>121</v>
      </c>
      <c r="K606" s="5" t="s">
        <v>136</v>
      </c>
      <c r="L606" s="6" t="str">
        <f t="shared" si="88"/>
        <v>5T1</v>
      </c>
      <c r="M606" s="13" t="s">
        <v>1697</v>
      </c>
      <c r="N606" s="7" t="s">
        <v>3496</v>
      </c>
      <c r="O606" s="7" t="s">
        <v>1698</v>
      </c>
      <c r="P606" s="115" t="s">
        <v>1699</v>
      </c>
      <c r="Q606" s="8"/>
      <c r="R606" s="2">
        <v>2</v>
      </c>
      <c r="S606" s="9">
        <v>1000</v>
      </c>
      <c r="T606" s="10">
        <f t="shared" si="86"/>
        <v>1000</v>
      </c>
      <c r="U606" s="9">
        <v>0</v>
      </c>
      <c r="V606" s="10">
        <f t="shared" si="87"/>
        <v>1000</v>
      </c>
      <c r="W606" s="4" t="s">
        <v>122</v>
      </c>
      <c r="X606" s="2"/>
      <c r="Y606" s="11">
        <v>3</v>
      </c>
      <c r="Z606" s="12">
        <f t="shared" si="89"/>
        <v>0</v>
      </c>
      <c r="AA606" s="4" t="s">
        <v>212</v>
      </c>
      <c r="AC606" s="176">
        <f t="shared" si="85"/>
        <v>0</v>
      </c>
      <c r="AD606"/>
    </row>
    <row r="607" spans="2:30">
      <c r="B607" s="183">
        <f t="shared" si="90"/>
        <v>18</v>
      </c>
      <c r="C607" s="107" t="str">
        <f t="shared" si="91"/>
        <v>ATK</v>
      </c>
      <c r="D607" s="2" t="s">
        <v>845</v>
      </c>
      <c r="E607" s="3">
        <v>43948</v>
      </c>
      <c r="F607" s="3">
        <v>43949</v>
      </c>
      <c r="G607" s="108">
        <f t="shared" si="92"/>
        <v>4</v>
      </c>
      <c r="H607" s="108" t="str">
        <f t="shared" si="93"/>
        <v>완료</v>
      </c>
      <c r="I607" s="112" t="s">
        <v>218</v>
      </c>
      <c r="J607" s="4" t="s">
        <v>132</v>
      </c>
      <c r="K607" s="5" t="s">
        <v>143</v>
      </c>
      <c r="L607" s="6" t="str">
        <f t="shared" si="88"/>
        <v>3T4</v>
      </c>
      <c r="M607" s="13" t="s">
        <v>1582</v>
      </c>
      <c r="N607" s="7" t="s">
        <v>3740</v>
      </c>
      <c r="O607" s="13" t="s">
        <v>1700</v>
      </c>
      <c r="P607" s="115" t="s">
        <v>1701</v>
      </c>
      <c r="Q607" s="8"/>
      <c r="R607" s="2">
        <v>1</v>
      </c>
      <c r="S607" s="9">
        <v>500</v>
      </c>
      <c r="T607" s="10">
        <f t="shared" si="86"/>
        <v>250</v>
      </c>
      <c r="U607" s="9">
        <v>30</v>
      </c>
      <c r="V607" s="10">
        <f t="shared" si="87"/>
        <v>220</v>
      </c>
      <c r="W607" s="4" t="s">
        <v>122</v>
      </c>
      <c r="X607" s="2"/>
      <c r="Y607" s="11">
        <v>4</v>
      </c>
      <c r="Z607" s="12">
        <f t="shared" si="89"/>
        <v>1</v>
      </c>
      <c r="AA607" s="4" t="s">
        <v>27</v>
      </c>
      <c r="AC607" s="176">
        <f t="shared" si="85"/>
        <v>2.7272727272727271E-2</v>
      </c>
      <c r="AD607"/>
    </row>
    <row r="608" spans="2:30">
      <c r="B608" s="183">
        <f t="shared" si="90"/>
        <v>18</v>
      </c>
      <c r="C608" s="107" t="str">
        <f t="shared" si="91"/>
        <v>ATK</v>
      </c>
      <c r="D608" s="2" t="s">
        <v>312</v>
      </c>
      <c r="E608" s="3">
        <v>43948</v>
      </c>
      <c r="F608" s="3">
        <v>43949</v>
      </c>
      <c r="G608" s="108">
        <f t="shared" si="92"/>
        <v>4</v>
      </c>
      <c r="H608" s="108" t="str">
        <f t="shared" si="93"/>
        <v>완료</v>
      </c>
      <c r="I608" s="112" t="s">
        <v>218</v>
      </c>
      <c r="J608" s="4" t="s">
        <v>481</v>
      </c>
      <c r="K608" s="5" t="s">
        <v>695</v>
      </c>
      <c r="L608" s="6" t="str">
        <f t="shared" si="88"/>
        <v>2T2</v>
      </c>
      <c r="M608" s="13" t="s">
        <v>256</v>
      </c>
      <c r="N608" s="7" t="s">
        <v>3529</v>
      </c>
      <c r="O608" s="13" t="s">
        <v>482</v>
      </c>
      <c r="P608" s="115" t="s">
        <v>1702</v>
      </c>
      <c r="Q608" s="8"/>
      <c r="R608" s="2">
        <v>1</v>
      </c>
      <c r="S608" s="9">
        <v>1600</v>
      </c>
      <c r="T608" s="10">
        <f t="shared" si="86"/>
        <v>800</v>
      </c>
      <c r="U608" s="9">
        <v>50</v>
      </c>
      <c r="V608" s="10">
        <f t="shared" si="87"/>
        <v>750</v>
      </c>
      <c r="W608" s="4" t="s">
        <v>122</v>
      </c>
      <c r="X608" s="2"/>
      <c r="Y608" s="11">
        <v>1</v>
      </c>
      <c r="Z608" s="12">
        <f t="shared" si="89"/>
        <v>1</v>
      </c>
      <c r="AA608" s="4" t="s">
        <v>27</v>
      </c>
      <c r="AC608" s="176">
        <f t="shared" si="85"/>
        <v>4.5454545454545456E-2</v>
      </c>
      <c r="AD608"/>
    </row>
    <row r="609" spans="2:30">
      <c r="B609" s="183">
        <f t="shared" si="90"/>
        <v>18</v>
      </c>
      <c r="C609" s="107" t="str">
        <f t="shared" si="91"/>
        <v>ATK</v>
      </c>
      <c r="D609" s="2" t="s">
        <v>312</v>
      </c>
      <c r="E609" s="3">
        <v>43948</v>
      </c>
      <c r="F609" s="3">
        <v>43949</v>
      </c>
      <c r="G609" s="108">
        <f t="shared" si="92"/>
        <v>4</v>
      </c>
      <c r="H609" s="108" t="str">
        <f t="shared" si="93"/>
        <v>완료</v>
      </c>
      <c r="I609" s="112" t="s">
        <v>218</v>
      </c>
      <c r="J609" s="4" t="s">
        <v>481</v>
      </c>
      <c r="K609" s="5" t="s">
        <v>695</v>
      </c>
      <c r="L609" s="6" t="str">
        <f t="shared" si="88"/>
        <v>2T2</v>
      </c>
      <c r="M609" s="13" t="s">
        <v>256</v>
      </c>
      <c r="N609" s="7" t="s">
        <v>3521</v>
      </c>
      <c r="O609" s="13" t="s">
        <v>482</v>
      </c>
      <c r="P609" s="115" t="s">
        <v>1703</v>
      </c>
      <c r="Q609" s="8"/>
      <c r="R609" s="2">
        <v>1</v>
      </c>
      <c r="S609" s="9">
        <v>1600</v>
      </c>
      <c r="T609" s="10">
        <f t="shared" si="86"/>
        <v>800</v>
      </c>
      <c r="U609" s="9">
        <v>30</v>
      </c>
      <c r="V609" s="10">
        <f t="shared" si="87"/>
        <v>770</v>
      </c>
      <c r="W609" s="4" t="s">
        <v>122</v>
      </c>
      <c r="X609" s="2"/>
      <c r="Y609" s="11">
        <v>1</v>
      </c>
      <c r="Z609" s="12">
        <f t="shared" si="89"/>
        <v>1</v>
      </c>
      <c r="AA609" s="4" t="s">
        <v>27</v>
      </c>
      <c r="AC609" s="176">
        <f t="shared" si="85"/>
        <v>2.7272727272727271E-2</v>
      </c>
      <c r="AD609"/>
    </row>
    <row r="610" spans="2:30">
      <c r="B610" s="183">
        <f t="shared" si="90"/>
        <v>18</v>
      </c>
      <c r="C610" s="107" t="str">
        <f t="shared" si="91"/>
        <v>ATK</v>
      </c>
      <c r="D610" s="2" t="s">
        <v>222</v>
      </c>
      <c r="E610" s="3">
        <v>43949</v>
      </c>
      <c r="F610" s="3">
        <v>43949</v>
      </c>
      <c r="G610" s="108">
        <f t="shared" si="92"/>
        <v>4</v>
      </c>
      <c r="H610" s="108" t="str">
        <f t="shared" si="93"/>
        <v>완료</v>
      </c>
      <c r="I610" s="112" t="s">
        <v>218</v>
      </c>
      <c r="J610" s="4" t="s">
        <v>121</v>
      </c>
      <c r="K610" s="5" t="s">
        <v>322</v>
      </c>
      <c r="L610" s="6" t="str">
        <f t="shared" si="88"/>
        <v>3T1</v>
      </c>
      <c r="M610" s="13" t="s">
        <v>354</v>
      </c>
      <c r="N610" s="7"/>
      <c r="O610" s="13" t="s">
        <v>1704</v>
      </c>
      <c r="P610" s="115" t="s">
        <v>1705</v>
      </c>
      <c r="Q610" s="8"/>
      <c r="R610" s="2">
        <v>1</v>
      </c>
      <c r="S610" s="9">
        <v>10000</v>
      </c>
      <c r="T610" s="10">
        <f t="shared" si="86"/>
        <v>5000</v>
      </c>
      <c r="U610" s="9">
        <v>0</v>
      </c>
      <c r="V610" s="10">
        <f t="shared" si="87"/>
        <v>5000</v>
      </c>
      <c r="W610" s="4" t="s">
        <v>122</v>
      </c>
      <c r="X610" s="2"/>
      <c r="Y610" s="11">
        <v>3</v>
      </c>
      <c r="Z610" s="12">
        <f t="shared" si="89"/>
        <v>0</v>
      </c>
      <c r="AA610" s="4" t="s">
        <v>120</v>
      </c>
      <c r="AC610" s="176">
        <f t="shared" si="85"/>
        <v>0</v>
      </c>
      <c r="AD610"/>
    </row>
    <row r="611" spans="2:30">
      <c r="B611" s="183">
        <f t="shared" si="90"/>
        <v>18</v>
      </c>
      <c r="C611" s="107" t="str">
        <f t="shared" si="91"/>
        <v>ATK</v>
      </c>
      <c r="D611" s="2" t="s">
        <v>1706</v>
      </c>
      <c r="E611" s="3">
        <v>43945</v>
      </c>
      <c r="F611" s="3">
        <v>43950</v>
      </c>
      <c r="G611" s="108">
        <f t="shared" si="92"/>
        <v>4</v>
      </c>
      <c r="H611" s="108" t="str">
        <f t="shared" si="93"/>
        <v>완료</v>
      </c>
      <c r="I611" s="112" t="s">
        <v>218</v>
      </c>
      <c r="J611" s="4" t="s">
        <v>281</v>
      </c>
      <c r="K611" s="5" t="s">
        <v>332</v>
      </c>
      <c r="L611" s="6" t="str">
        <f t="shared" si="88"/>
        <v>EE2</v>
      </c>
      <c r="M611" s="13" t="s">
        <v>226</v>
      </c>
      <c r="N611" s="7" t="s">
        <v>140</v>
      </c>
      <c r="O611" s="13" t="s">
        <v>1712</v>
      </c>
      <c r="P611" s="115" t="s">
        <v>1711</v>
      </c>
      <c r="Q611" s="8"/>
      <c r="R611" s="2">
        <v>1</v>
      </c>
      <c r="S611" s="9">
        <v>1000</v>
      </c>
      <c r="T611" s="10">
        <f t="shared" si="86"/>
        <v>500</v>
      </c>
      <c r="U611" s="9">
        <v>5</v>
      </c>
      <c r="V611" s="10">
        <f t="shared" si="87"/>
        <v>495</v>
      </c>
      <c r="W611" s="4" t="s">
        <v>122</v>
      </c>
      <c r="X611" s="2"/>
      <c r="Y611" s="11">
        <v>3</v>
      </c>
      <c r="Z611" s="12">
        <f t="shared" si="89"/>
        <v>5</v>
      </c>
      <c r="AA611" s="4" t="s">
        <v>27</v>
      </c>
      <c r="AC611" s="176">
        <f t="shared" si="85"/>
        <v>4.5454545454545452E-3</v>
      </c>
      <c r="AD611"/>
    </row>
    <row r="612" spans="2:30">
      <c r="B612" s="183">
        <f t="shared" si="90"/>
        <v>18</v>
      </c>
      <c r="C612" s="107" t="str">
        <f t="shared" si="91"/>
        <v>ATK</v>
      </c>
      <c r="D612" s="2" t="s">
        <v>1708</v>
      </c>
      <c r="E612" s="3">
        <v>43949</v>
      </c>
      <c r="F612" s="3">
        <v>43949</v>
      </c>
      <c r="G612" s="108">
        <f t="shared" si="92"/>
        <v>4</v>
      </c>
      <c r="H612" s="108" t="str">
        <f t="shared" si="93"/>
        <v>완료</v>
      </c>
      <c r="I612" s="112" t="s">
        <v>218</v>
      </c>
      <c r="J612" s="4" t="s">
        <v>118</v>
      </c>
      <c r="K612" s="5" t="s">
        <v>119</v>
      </c>
      <c r="L612" s="6" t="str">
        <f t="shared" si="88"/>
        <v>2T3</v>
      </c>
      <c r="M612" s="13" t="s">
        <v>730</v>
      </c>
      <c r="N612" s="7" t="s">
        <v>3726</v>
      </c>
      <c r="O612" s="13" t="s">
        <v>1709</v>
      </c>
      <c r="P612" s="115" t="s">
        <v>1710</v>
      </c>
      <c r="Q612" s="8"/>
      <c r="R612" s="2">
        <v>2</v>
      </c>
      <c r="S612" s="9">
        <v>1200</v>
      </c>
      <c r="T612" s="10">
        <f t="shared" si="86"/>
        <v>1200</v>
      </c>
      <c r="U612" s="9"/>
      <c r="V612" s="10">
        <f t="shared" si="87"/>
        <v>1200</v>
      </c>
      <c r="W612" s="4" t="s">
        <v>122</v>
      </c>
      <c r="X612" s="2"/>
      <c r="Y612" s="11">
        <v>6</v>
      </c>
      <c r="Z612" s="12">
        <f t="shared" si="89"/>
        <v>0</v>
      </c>
      <c r="AA612" s="4" t="s">
        <v>259</v>
      </c>
      <c r="AC612" s="176">
        <f t="shared" si="85"/>
        <v>0</v>
      </c>
      <c r="AD612"/>
    </row>
    <row r="613" spans="2:30">
      <c r="B613" s="183">
        <f t="shared" si="90"/>
        <v>19</v>
      </c>
      <c r="C613" s="107" t="str">
        <f t="shared" si="91"/>
        <v>ATK</v>
      </c>
      <c r="D613" s="2" t="s">
        <v>221</v>
      </c>
      <c r="E613" s="3">
        <v>43949</v>
      </c>
      <c r="F613" s="3">
        <v>43958</v>
      </c>
      <c r="G613" s="108">
        <f t="shared" si="92"/>
        <v>5</v>
      </c>
      <c r="H613" s="108" t="str">
        <f t="shared" si="93"/>
        <v>완료</v>
      </c>
      <c r="I613" s="112" t="s">
        <v>218</v>
      </c>
      <c r="J613" s="4" t="s">
        <v>234</v>
      </c>
      <c r="K613" s="5" t="s">
        <v>751</v>
      </c>
      <c r="L613" s="6" t="str">
        <f t="shared" si="88"/>
        <v>Bum</v>
      </c>
      <c r="M613" s="13" t="s">
        <v>1713</v>
      </c>
      <c r="N613" s="7" t="s">
        <v>3741</v>
      </c>
      <c r="O613" s="13" t="s">
        <v>225</v>
      </c>
      <c r="P613" s="115" t="s">
        <v>1734</v>
      </c>
      <c r="Q613" s="8"/>
      <c r="R613" s="2">
        <v>1</v>
      </c>
      <c r="S613" s="9">
        <v>2500</v>
      </c>
      <c r="T613" s="10">
        <f t="shared" si="86"/>
        <v>1250</v>
      </c>
      <c r="U613" s="9">
        <v>5</v>
      </c>
      <c r="V613" s="10">
        <f t="shared" si="87"/>
        <v>1245</v>
      </c>
      <c r="W613" s="4" t="s">
        <v>122</v>
      </c>
      <c r="X613" s="2"/>
      <c r="Y613" s="11">
        <v>10</v>
      </c>
      <c r="Z613" s="12">
        <f t="shared" si="89"/>
        <v>9</v>
      </c>
      <c r="AA613" s="4" t="s">
        <v>27</v>
      </c>
      <c r="AC613" s="176">
        <f t="shared" si="85"/>
        <v>4.5454545454545452E-3</v>
      </c>
      <c r="AD613"/>
    </row>
    <row r="614" spans="2:30">
      <c r="B614" s="183">
        <f t="shared" si="90"/>
        <v>18</v>
      </c>
      <c r="C614" s="107" t="str">
        <f t="shared" si="91"/>
        <v>ATK</v>
      </c>
      <c r="D614" s="2" t="s">
        <v>255</v>
      </c>
      <c r="E614" s="3">
        <v>43949</v>
      </c>
      <c r="F614" s="3">
        <v>43949</v>
      </c>
      <c r="G614" s="108">
        <f t="shared" si="92"/>
        <v>4</v>
      </c>
      <c r="H614" s="108" t="str">
        <f t="shared" si="93"/>
        <v>완료</v>
      </c>
      <c r="I614" s="112" t="s">
        <v>218</v>
      </c>
      <c r="J614" s="4" t="s">
        <v>127</v>
      </c>
      <c r="K614" s="5" t="s">
        <v>135</v>
      </c>
      <c r="L614" s="6" t="str">
        <f t="shared" si="88"/>
        <v>1T3</v>
      </c>
      <c r="M614" s="13" t="s">
        <v>256</v>
      </c>
      <c r="N614" s="7" t="s">
        <v>3529</v>
      </c>
      <c r="O614" s="13" t="s">
        <v>482</v>
      </c>
      <c r="P614" s="115" t="s">
        <v>944</v>
      </c>
      <c r="Q614" s="8"/>
      <c r="R614" s="2">
        <v>1</v>
      </c>
      <c r="S614" s="9">
        <v>1600</v>
      </c>
      <c r="T614" s="10">
        <f t="shared" si="86"/>
        <v>800</v>
      </c>
      <c r="U614" s="9">
        <v>30</v>
      </c>
      <c r="V614" s="10">
        <f t="shared" si="87"/>
        <v>770</v>
      </c>
      <c r="W614" s="4" t="s">
        <v>122</v>
      </c>
      <c r="X614" s="2"/>
      <c r="Y614" s="11">
        <v>2</v>
      </c>
      <c r="Z614" s="12">
        <f t="shared" si="89"/>
        <v>0</v>
      </c>
      <c r="AA614" s="4" t="s">
        <v>27</v>
      </c>
      <c r="AC614" s="176">
        <f t="shared" si="85"/>
        <v>2.7272727272727271E-2</v>
      </c>
      <c r="AD614"/>
    </row>
    <row r="615" spans="2:30">
      <c r="B615" s="183">
        <f t="shared" si="90"/>
        <v>19</v>
      </c>
      <c r="C615" s="107" t="str">
        <f t="shared" si="91"/>
        <v>ATK</v>
      </c>
      <c r="D615" s="2" t="s">
        <v>1717</v>
      </c>
      <c r="E615" s="3">
        <v>43950</v>
      </c>
      <c r="F615" s="3">
        <v>43957</v>
      </c>
      <c r="G615" s="108">
        <f t="shared" si="92"/>
        <v>5</v>
      </c>
      <c r="H615" s="108" t="str">
        <f t="shared" si="93"/>
        <v>Other</v>
      </c>
      <c r="I615" s="112" t="s">
        <v>1743</v>
      </c>
      <c r="J615" s="4" t="s">
        <v>1718</v>
      </c>
      <c r="K615" s="5" t="s">
        <v>266</v>
      </c>
      <c r="L615" s="6" t="str">
        <f t="shared" si="88"/>
        <v>3T4</v>
      </c>
      <c r="M615" s="13" t="s">
        <v>270</v>
      </c>
      <c r="N615" s="7" t="s">
        <v>3630</v>
      </c>
      <c r="O615" s="13" t="s">
        <v>270</v>
      </c>
      <c r="P615" s="115" t="s">
        <v>271</v>
      </c>
      <c r="Q615" s="8"/>
      <c r="R615" s="2">
        <v>1</v>
      </c>
      <c r="S615" s="9">
        <v>800</v>
      </c>
      <c r="T615" s="10">
        <f t="shared" si="86"/>
        <v>400</v>
      </c>
      <c r="U615" s="9">
        <v>0</v>
      </c>
      <c r="V615" s="10">
        <f t="shared" si="87"/>
        <v>400</v>
      </c>
      <c r="W615" s="4" t="s">
        <v>249</v>
      </c>
      <c r="X615" s="2"/>
      <c r="Y615" s="11">
        <v>2</v>
      </c>
      <c r="Z615" s="12">
        <f t="shared" si="89"/>
        <v>7</v>
      </c>
      <c r="AA615" s="4" t="s">
        <v>174</v>
      </c>
      <c r="AC615" s="176">
        <f t="shared" si="85"/>
        <v>0</v>
      </c>
      <c r="AD615"/>
    </row>
    <row r="616" spans="2:30">
      <c r="B616" s="183">
        <f t="shared" si="90"/>
        <v>19</v>
      </c>
      <c r="C616" s="107" t="str">
        <f t="shared" si="91"/>
        <v>ATK</v>
      </c>
      <c r="D616" s="2" t="s">
        <v>1719</v>
      </c>
      <c r="E616" s="3">
        <v>43955</v>
      </c>
      <c r="F616" s="3">
        <v>43955</v>
      </c>
      <c r="G616" s="108">
        <f t="shared" si="92"/>
        <v>5</v>
      </c>
      <c r="H616" s="108" t="str">
        <f t="shared" si="93"/>
        <v>완료</v>
      </c>
      <c r="I616" s="112" t="s">
        <v>218</v>
      </c>
      <c r="J616" s="4" t="s">
        <v>118</v>
      </c>
      <c r="K616" s="5" t="s">
        <v>134</v>
      </c>
      <c r="L616" s="6" t="str">
        <f t="shared" si="88"/>
        <v>2T1</v>
      </c>
      <c r="M616" s="13" t="s">
        <v>1720</v>
      </c>
      <c r="N616" s="7" t="s">
        <v>3564</v>
      </c>
      <c r="O616" s="13" t="s">
        <v>1721</v>
      </c>
      <c r="P616" s="115" t="s">
        <v>1722</v>
      </c>
      <c r="Q616" s="8"/>
      <c r="R616" s="2">
        <v>2</v>
      </c>
      <c r="S616" s="9">
        <v>600</v>
      </c>
      <c r="T616" s="10">
        <f t="shared" si="86"/>
        <v>600</v>
      </c>
      <c r="U616" s="9">
        <v>100</v>
      </c>
      <c r="V616" s="10">
        <f t="shared" si="87"/>
        <v>500</v>
      </c>
      <c r="W616" s="4" t="s">
        <v>122</v>
      </c>
      <c r="X616" s="2"/>
      <c r="Y616" s="11">
        <v>1</v>
      </c>
      <c r="Z616" s="12">
        <f t="shared" si="89"/>
        <v>0</v>
      </c>
      <c r="AA616" s="4" t="s">
        <v>117</v>
      </c>
      <c r="AC616" s="176">
        <f t="shared" si="85"/>
        <v>9.0909090909090912E-2</v>
      </c>
      <c r="AD616"/>
    </row>
    <row r="617" spans="2:30">
      <c r="B617" s="183">
        <f t="shared" si="90"/>
        <v>19</v>
      </c>
      <c r="C617" s="107" t="str">
        <f t="shared" si="91"/>
        <v>ATK</v>
      </c>
      <c r="D617" s="2" t="s">
        <v>453</v>
      </c>
      <c r="E617" s="3">
        <v>43955</v>
      </c>
      <c r="F617" s="3">
        <v>43955</v>
      </c>
      <c r="G617" s="108">
        <f t="shared" si="92"/>
        <v>5</v>
      </c>
      <c r="H617" s="108" t="str">
        <f t="shared" si="93"/>
        <v>완료</v>
      </c>
      <c r="I617" s="112" t="s">
        <v>218</v>
      </c>
      <c r="J617" s="4" t="s">
        <v>118</v>
      </c>
      <c r="K617" s="5" t="s">
        <v>134</v>
      </c>
      <c r="L617" s="6" t="str">
        <f t="shared" si="88"/>
        <v>2T1</v>
      </c>
      <c r="M617" s="13" t="s">
        <v>454</v>
      </c>
      <c r="N617" s="7" t="s">
        <v>3742</v>
      </c>
      <c r="O617" s="13" t="s">
        <v>1723</v>
      </c>
      <c r="P617" s="115"/>
      <c r="Q617" s="8"/>
      <c r="R617" s="2">
        <v>2</v>
      </c>
      <c r="S617" s="9">
        <v>900</v>
      </c>
      <c r="T617" s="10">
        <f t="shared" si="86"/>
        <v>900</v>
      </c>
      <c r="U617" s="9">
        <v>2</v>
      </c>
      <c r="V617" s="10">
        <f t="shared" si="87"/>
        <v>898</v>
      </c>
      <c r="W617" s="4" t="s">
        <v>122</v>
      </c>
      <c r="X617" s="2"/>
      <c r="Y617" s="11">
        <v>2</v>
      </c>
      <c r="Z617" s="12">
        <f t="shared" si="89"/>
        <v>0</v>
      </c>
      <c r="AA617" s="4" t="s">
        <v>117</v>
      </c>
      <c r="AC617" s="176">
        <f t="shared" si="85"/>
        <v>1.8181818181818182E-3</v>
      </c>
      <c r="AD617"/>
    </row>
    <row r="618" spans="2:30">
      <c r="B618" s="183">
        <f t="shared" si="90"/>
        <v>19</v>
      </c>
      <c r="C618" s="107" t="str">
        <f t="shared" si="91"/>
        <v>ATK</v>
      </c>
      <c r="D618" s="2" t="s">
        <v>455</v>
      </c>
      <c r="E618" s="3">
        <v>43955</v>
      </c>
      <c r="F618" s="3">
        <v>43955</v>
      </c>
      <c r="G618" s="108">
        <f t="shared" si="92"/>
        <v>5</v>
      </c>
      <c r="H618" s="108" t="str">
        <f t="shared" si="93"/>
        <v>완료</v>
      </c>
      <c r="I618" s="112" t="s">
        <v>218</v>
      </c>
      <c r="J618" s="4" t="s">
        <v>118</v>
      </c>
      <c r="K618" s="5" t="s">
        <v>119</v>
      </c>
      <c r="L618" s="6" t="str">
        <f t="shared" si="88"/>
        <v>2T3</v>
      </c>
      <c r="M618" s="13" t="s">
        <v>730</v>
      </c>
      <c r="N618" s="7" t="s">
        <v>3743</v>
      </c>
      <c r="O618" s="13" t="s">
        <v>1725</v>
      </c>
      <c r="P618" s="115"/>
      <c r="Q618" s="8"/>
      <c r="R618" s="2">
        <v>1</v>
      </c>
      <c r="S618" s="9">
        <v>4000</v>
      </c>
      <c r="T618" s="10">
        <f t="shared" si="86"/>
        <v>2000</v>
      </c>
      <c r="U618" s="9">
        <v>5</v>
      </c>
      <c r="V618" s="10">
        <f t="shared" si="87"/>
        <v>1995</v>
      </c>
      <c r="W618" s="4" t="s">
        <v>122</v>
      </c>
      <c r="X618" s="2"/>
      <c r="Y618" s="11">
        <v>2</v>
      </c>
      <c r="Z618" s="12">
        <f t="shared" si="89"/>
        <v>0</v>
      </c>
      <c r="AA618" s="4" t="s">
        <v>117</v>
      </c>
      <c r="AC618" s="176">
        <f t="shared" si="85"/>
        <v>4.5454545454545452E-3</v>
      </c>
      <c r="AD618"/>
    </row>
    <row r="619" spans="2:30">
      <c r="B619" s="183">
        <f t="shared" si="90"/>
        <v>19</v>
      </c>
      <c r="C619" s="107" t="str">
        <f t="shared" si="91"/>
        <v>ATK</v>
      </c>
      <c r="D619" s="2" t="s">
        <v>463</v>
      </c>
      <c r="E619" s="3">
        <v>43955</v>
      </c>
      <c r="F619" s="3">
        <v>43955</v>
      </c>
      <c r="G619" s="108">
        <f t="shared" si="92"/>
        <v>5</v>
      </c>
      <c r="H619" s="108" t="str">
        <f t="shared" si="93"/>
        <v>완료</v>
      </c>
      <c r="I619" s="112" t="s">
        <v>218</v>
      </c>
      <c r="J619" s="4" t="s">
        <v>121</v>
      </c>
      <c r="K619" s="5" t="s">
        <v>136</v>
      </c>
      <c r="L619" s="6" t="str">
        <f t="shared" si="88"/>
        <v>5T1</v>
      </c>
      <c r="M619" s="13" t="s">
        <v>1726</v>
      </c>
      <c r="N619" s="7" t="s">
        <v>3611</v>
      </c>
      <c r="O619" s="13" t="s">
        <v>1731</v>
      </c>
      <c r="P619" s="115"/>
      <c r="Q619" s="8"/>
      <c r="R619" s="2">
        <v>1</v>
      </c>
      <c r="S619" s="9">
        <v>1800</v>
      </c>
      <c r="T619" s="10">
        <f t="shared" si="86"/>
        <v>900</v>
      </c>
      <c r="U619" s="9">
        <v>0</v>
      </c>
      <c r="V619" s="10">
        <f t="shared" si="87"/>
        <v>900</v>
      </c>
      <c r="W619" s="4" t="s">
        <v>122</v>
      </c>
      <c r="X619" s="2"/>
      <c r="Y619" s="11">
        <v>1</v>
      </c>
      <c r="Z619" s="12">
        <f t="shared" si="89"/>
        <v>0</v>
      </c>
      <c r="AA619" s="4" t="s">
        <v>117</v>
      </c>
      <c r="AC619" s="176">
        <f t="shared" si="85"/>
        <v>0</v>
      </c>
      <c r="AD619"/>
    </row>
    <row r="620" spans="2:30">
      <c r="B620" s="183">
        <f t="shared" si="90"/>
        <v>19</v>
      </c>
      <c r="C620" s="107" t="str">
        <f t="shared" si="91"/>
        <v>ATK</v>
      </c>
      <c r="D620" s="2" t="s">
        <v>1727</v>
      </c>
      <c r="E620" s="3">
        <v>43955</v>
      </c>
      <c r="F620" s="3">
        <v>43955</v>
      </c>
      <c r="G620" s="108">
        <f t="shared" si="92"/>
        <v>5</v>
      </c>
      <c r="H620" s="108" t="str">
        <f t="shared" si="93"/>
        <v>완료</v>
      </c>
      <c r="I620" s="112" t="s">
        <v>218</v>
      </c>
      <c r="J620" s="4" t="s">
        <v>127</v>
      </c>
      <c r="K620" s="5" t="s">
        <v>131</v>
      </c>
      <c r="L620" s="6" t="str">
        <f t="shared" si="88"/>
        <v>1T4</v>
      </c>
      <c r="M620" s="13" t="s">
        <v>1728</v>
      </c>
      <c r="N620" s="7" t="s">
        <v>3744</v>
      </c>
      <c r="O620" s="13" t="s">
        <v>1032</v>
      </c>
      <c r="P620" s="115"/>
      <c r="Q620" s="8"/>
      <c r="R620" s="2">
        <v>1</v>
      </c>
      <c r="S620" s="9">
        <v>1500</v>
      </c>
      <c r="T620" s="10">
        <f t="shared" si="86"/>
        <v>750</v>
      </c>
      <c r="U620" s="9">
        <v>40</v>
      </c>
      <c r="V620" s="10">
        <f t="shared" si="87"/>
        <v>710</v>
      </c>
      <c r="W620" s="4" t="s">
        <v>122</v>
      </c>
      <c r="X620" s="2"/>
      <c r="Y620" s="11">
        <v>1</v>
      </c>
      <c r="Z620" s="12">
        <f t="shared" si="89"/>
        <v>0</v>
      </c>
      <c r="AA620" s="4" t="s">
        <v>117</v>
      </c>
      <c r="AC620" s="176">
        <f t="shared" si="85"/>
        <v>3.6363636363636362E-2</v>
      </c>
      <c r="AD620"/>
    </row>
    <row r="621" spans="2:30">
      <c r="B621" s="183">
        <f t="shared" si="90"/>
        <v>19</v>
      </c>
      <c r="C621" s="107" t="str">
        <f t="shared" si="91"/>
        <v>ATK</v>
      </c>
      <c r="D621" s="2" t="s">
        <v>1729</v>
      </c>
      <c r="E621" s="3">
        <v>43955</v>
      </c>
      <c r="F621" s="3">
        <v>43955</v>
      </c>
      <c r="G621" s="108">
        <f t="shared" si="92"/>
        <v>5</v>
      </c>
      <c r="H621" s="108" t="str">
        <f t="shared" si="93"/>
        <v>완료</v>
      </c>
      <c r="I621" s="112" t="s">
        <v>218</v>
      </c>
      <c r="J621" s="4" t="s">
        <v>118</v>
      </c>
      <c r="K621" s="5" t="s">
        <v>134</v>
      </c>
      <c r="L621" s="6" t="str">
        <f t="shared" si="88"/>
        <v>2T1</v>
      </c>
      <c r="M621" s="13" t="s">
        <v>454</v>
      </c>
      <c r="N621" s="7"/>
      <c r="O621" s="13" t="s">
        <v>1730</v>
      </c>
      <c r="P621" s="115"/>
      <c r="Q621" s="8"/>
      <c r="R621" s="2">
        <v>1</v>
      </c>
      <c r="S621" s="9">
        <v>2200</v>
      </c>
      <c r="T621" s="10">
        <f t="shared" si="86"/>
        <v>1100</v>
      </c>
      <c r="U621" s="9">
        <v>5</v>
      </c>
      <c r="V621" s="10">
        <f t="shared" si="87"/>
        <v>1095</v>
      </c>
      <c r="W621" s="4" t="s">
        <v>122</v>
      </c>
      <c r="X621" s="2"/>
      <c r="Y621" s="11">
        <v>1</v>
      </c>
      <c r="Z621" s="12">
        <f t="shared" si="89"/>
        <v>0</v>
      </c>
      <c r="AA621" s="4" t="s">
        <v>117</v>
      </c>
      <c r="AC621" s="176">
        <f t="shared" si="85"/>
        <v>4.5454545454545452E-3</v>
      </c>
      <c r="AD621"/>
    </row>
    <row r="622" spans="2:30">
      <c r="B622" s="183">
        <f t="shared" si="90"/>
        <v>19</v>
      </c>
      <c r="C622" s="107" t="str">
        <f t="shared" si="91"/>
        <v>ATK</v>
      </c>
      <c r="D622" s="2" t="s">
        <v>223</v>
      </c>
      <c r="E622" s="3">
        <v>43957</v>
      </c>
      <c r="F622" s="3">
        <v>43957</v>
      </c>
      <c r="G622" s="108">
        <f t="shared" si="92"/>
        <v>5</v>
      </c>
      <c r="H622" s="108" t="str">
        <f t="shared" si="93"/>
        <v>완료</v>
      </c>
      <c r="I622" s="112" t="s">
        <v>218</v>
      </c>
      <c r="J622" s="4" t="s">
        <v>121</v>
      </c>
      <c r="K622" s="5" t="s">
        <v>229</v>
      </c>
      <c r="L622" s="6" t="str">
        <f t="shared" si="88"/>
        <v>5T2</v>
      </c>
      <c r="M622" s="13" t="s">
        <v>226</v>
      </c>
      <c r="N622" s="7" t="s">
        <v>3031</v>
      </c>
      <c r="O622" s="13" t="s">
        <v>1732</v>
      </c>
      <c r="P622" s="115" t="s">
        <v>1733</v>
      </c>
      <c r="Q622" s="8"/>
      <c r="R622" s="2">
        <v>1</v>
      </c>
      <c r="S622" s="9">
        <v>500</v>
      </c>
      <c r="T622" s="10">
        <f t="shared" si="86"/>
        <v>250</v>
      </c>
      <c r="U622" s="9">
        <v>30</v>
      </c>
      <c r="V622" s="10">
        <f t="shared" si="87"/>
        <v>220</v>
      </c>
      <c r="W622" s="4" t="s">
        <v>122</v>
      </c>
      <c r="X622" s="2"/>
      <c r="Y622" s="11">
        <v>2</v>
      </c>
      <c r="Z622" s="12">
        <f t="shared" si="89"/>
        <v>0</v>
      </c>
      <c r="AA622" s="4" t="s">
        <v>27</v>
      </c>
      <c r="AC622" s="176">
        <f t="shared" si="85"/>
        <v>2.7272727272727271E-2</v>
      </c>
      <c r="AD622"/>
    </row>
    <row r="623" spans="2:30">
      <c r="B623" s="183">
        <f t="shared" si="90"/>
        <v>19</v>
      </c>
      <c r="C623" s="107" t="str">
        <f t="shared" si="91"/>
        <v>ATK</v>
      </c>
      <c r="D623" s="2" t="s">
        <v>541</v>
      </c>
      <c r="E623" s="3">
        <v>43949</v>
      </c>
      <c r="F623" s="3">
        <v>43957</v>
      </c>
      <c r="G623" s="108">
        <f t="shared" si="92"/>
        <v>5</v>
      </c>
      <c r="H623" s="108" t="str">
        <f t="shared" si="93"/>
        <v>완료</v>
      </c>
      <c r="I623" s="112" t="s">
        <v>264</v>
      </c>
      <c r="J623" s="4" t="s">
        <v>265</v>
      </c>
      <c r="K623" s="5" t="s">
        <v>298</v>
      </c>
      <c r="L623" s="6" t="str">
        <f t="shared" si="88"/>
        <v>3T1</v>
      </c>
      <c r="M623" s="13" t="s">
        <v>207</v>
      </c>
      <c r="N623" s="7" t="s">
        <v>3745</v>
      </c>
      <c r="O623" s="13" t="s">
        <v>207</v>
      </c>
      <c r="P623" s="115" t="s">
        <v>1735</v>
      </c>
      <c r="Q623" s="8"/>
      <c r="R623" s="2">
        <v>1</v>
      </c>
      <c r="S623" s="9">
        <v>400</v>
      </c>
      <c r="T623" s="10">
        <f t="shared" si="86"/>
        <v>200</v>
      </c>
      <c r="U623" s="9">
        <v>5</v>
      </c>
      <c r="V623" s="10">
        <f t="shared" si="87"/>
        <v>195</v>
      </c>
      <c r="W623" s="4" t="s">
        <v>249</v>
      </c>
      <c r="X623" s="2"/>
      <c r="Y623" s="11">
        <v>2</v>
      </c>
      <c r="Z623" s="12">
        <f t="shared" si="89"/>
        <v>8</v>
      </c>
      <c r="AA623" s="4" t="s">
        <v>174</v>
      </c>
      <c r="AC623" s="176">
        <f t="shared" si="85"/>
        <v>4.5454545454545452E-3</v>
      </c>
      <c r="AD623"/>
    </row>
    <row r="624" spans="2:30">
      <c r="B624" s="183">
        <f t="shared" si="90"/>
        <v>19</v>
      </c>
      <c r="C624" s="107" t="str">
        <f t="shared" si="91"/>
        <v>ATK</v>
      </c>
      <c r="D624" s="2" t="s">
        <v>463</v>
      </c>
      <c r="E624" s="3">
        <v>43957</v>
      </c>
      <c r="F624" s="3">
        <v>43957</v>
      </c>
      <c r="G624" s="108">
        <f t="shared" si="92"/>
        <v>5</v>
      </c>
      <c r="H624" s="108" t="str">
        <f t="shared" si="93"/>
        <v>완료</v>
      </c>
      <c r="I624" s="112" t="s">
        <v>218</v>
      </c>
      <c r="J624" s="4" t="s">
        <v>121</v>
      </c>
      <c r="K624" s="5" t="s">
        <v>136</v>
      </c>
      <c r="L624" s="6" t="str">
        <f t="shared" si="88"/>
        <v>5T1</v>
      </c>
      <c r="M624" s="13" t="s">
        <v>1736</v>
      </c>
      <c r="N624" s="7"/>
      <c r="O624" s="13" t="s">
        <v>339</v>
      </c>
      <c r="P624" s="115" t="s">
        <v>1737</v>
      </c>
      <c r="Q624" s="8"/>
      <c r="R624" s="2">
        <v>1</v>
      </c>
      <c r="S624" s="9">
        <v>2500</v>
      </c>
      <c r="T624" s="10">
        <f t="shared" si="86"/>
        <v>1250</v>
      </c>
      <c r="U624" s="9">
        <v>1</v>
      </c>
      <c r="V624" s="10">
        <f t="shared" si="87"/>
        <v>1249</v>
      </c>
      <c r="W624" s="4" t="s">
        <v>122</v>
      </c>
      <c r="X624" s="2"/>
      <c r="Y624" s="11">
        <v>1</v>
      </c>
      <c r="Z624" s="12">
        <f t="shared" si="89"/>
        <v>0</v>
      </c>
      <c r="AA624" s="4" t="s">
        <v>117</v>
      </c>
      <c r="AC624" s="176">
        <f t="shared" si="85"/>
        <v>9.0909090909090909E-4</v>
      </c>
      <c r="AD624"/>
    </row>
    <row r="625" spans="2:30">
      <c r="B625" s="183">
        <f t="shared" si="90"/>
        <v>19</v>
      </c>
      <c r="C625" s="107" t="str">
        <f t="shared" si="91"/>
        <v>ATK</v>
      </c>
      <c r="D625" s="2" t="s">
        <v>1689</v>
      </c>
      <c r="E625" s="3">
        <v>43950</v>
      </c>
      <c r="F625" s="3">
        <v>43957</v>
      </c>
      <c r="G625" s="108">
        <f t="shared" si="92"/>
        <v>5</v>
      </c>
      <c r="H625" s="108" t="str">
        <f t="shared" si="93"/>
        <v>완료</v>
      </c>
      <c r="I625" s="112" t="s">
        <v>218</v>
      </c>
      <c r="J625" s="4" t="s">
        <v>127</v>
      </c>
      <c r="K625" s="5" t="s">
        <v>131</v>
      </c>
      <c r="L625" s="6" t="str">
        <f t="shared" si="88"/>
        <v>1T4</v>
      </c>
      <c r="M625" s="13" t="s">
        <v>1738</v>
      </c>
      <c r="N625" s="7"/>
      <c r="O625" s="13" t="s">
        <v>1691</v>
      </c>
      <c r="P625" s="115" t="s">
        <v>1739</v>
      </c>
      <c r="Q625" s="8"/>
      <c r="R625" s="2">
        <v>5</v>
      </c>
      <c r="S625" s="9">
        <v>300</v>
      </c>
      <c r="T625" s="10">
        <f t="shared" si="86"/>
        <v>750</v>
      </c>
      <c r="U625" s="9">
        <v>20</v>
      </c>
      <c r="V625" s="10">
        <f t="shared" si="87"/>
        <v>730</v>
      </c>
      <c r="W625" s="4" t="s">
        <v>122</v>
      </c>
      <c r="X625" s="2"/>
      <c r="Y625" s="11">
        <v>5</v>
      </c>
      <c r="Z625" s="12">
        <f t="shared" si="89"/>
        <v>7</v>
      </c>
      <c r="AA625" s="4" t="s">
        <v>259</v>
      </c>
      <c r="AC625" s="176">
        <f t="shared" si="85"/>
        <v>1.8181818181818181E-2</v>
      </c>
      <c r="AD625"/>
    </row>
    <row r="626" spans="2:30">
      <c r="B626" s="183">
        <f t="shared" si="90"/>
        <v>19</v>
      </c>
      <c r="C626" s="107" t="str">
        <f t="shared" si="91"/>
        <v>ATK</v>
      </c>
      <c r="D626" s="2" t="s">
        <v>295</v>
      </c>
      <c r="E626" s="3">
        <v>43957</v>
      </c>
      <c r="F626" s="3">
        <v>43957</v>
      </c>
      <c r="G626" s="108">
        <f t="shared" si="92"/>
        <v>5</v>
      </c>
      <c r="H626" s="108" t="str">
        <f t="shared" si="93"/>
        <v>완료</v>
      </c>
      <c r="I626" s="112" t="s">
        <v>218</v>
      </c>
      <c r="J626" s="4" t="s">
        <v>132</v>
      </c>
      <c r="K626" s="5" t="s">
        <v>133</v>
      </c>
      <c r="L626" s="6" t="str">
        <f t="shared" si="88"/>
        <v>3T3</v>
      </c>
      <c r="M626" s="13" t="s">
        <v>1740</v>
      </c>
      <c r="N626" s="7" t="s">
        <v>3746</v>
      </c>
      <c r="O626" s="13" t="s">
        <v>543</v>
      </c>
      <c r="P626" s="115" t="s">
        <v>775</v>
      </c>
      <c r="Q626" s="8" t="s">
        <v>1742</v>
      </c>
      <c r="R626" s="2">
        <v>1</v>
      </c>
      <c r="S626" s="9">
        <v>1200</v>
      </c>
      <c r="T626" s="10">
        <f t="shared" si="86"/>
        <v>600</v>
      </c>
      <c r="U626" s="9">
        <v>1</v>
      </c>
      <c r="V626" s="10">
        <f t="shared" si="87"/>
        <v>599</v>
      </c>
      <c r="W626" s="4" t="s">
        <v>122</v>
      </c>
      <c r="X626" s="2"/>
      <c r="Y626" s="11">
        <v>4</v>
      </c>
      <c r="Z626" s="12">
        <f t="shared" si="89"/>
        <v>0</v>
      </c>
      <c r="AA626" s="4" t="s">
        <v>120</v>
      </c>
      <c r="AC626" s="176">
        <f t="shared" si="85"/>
        <v>9.0909090909090909E-4</v>
      </c>
      <c r="AD626"/>
    </row>
    <row r="627" spans="2:30">
      <c r="B627" s="183">
        <f t="shared" si="90"/>
        <v>19</v>
      </c>
      <c r="C627" s="107" t="str">
        <f t="shared" si="91"/>
        <v>ATK</v>
      </c>
      <c r="D627" s="2" t="s">
        <v>295</v>
      </c>
      <c r="E627" s="3">
        <v>43957</v>
      </c>
      <c r="F627" s="3">
        <v>43958</v>
      </c>
      <c r="G627" s="108">
        <f t="shared" si="92"/>
        <v>5</v>
      </c>
      <c r="H627" s="108" t="str">
        <f t="shared" si="93"/>
        <v>완료</v>
      </c>
      <c r="I627" s="112" t="s">
        <v>218</v>
      </c>
      <c r="J627" s="4" t="s">
        <v>132</v>
      </c>
      <c r="K627" s="5" t="s">
        <v>133</v>
      </c>
      <c r="L627" s="6" t="str">
        <f t="shared" si="88"/>
        <v>3T3</v>
      </c>
      <c r="M627" s="13" t="s">
        <v>1740</v>
      </c>
      <c r="N627" s="7" t="s">
        <v>3747</v>
      </c>
      <c r="O627" s="13" t="s">
        <v>1744</v>
      </c>
      <c r="P627" s="115" t="s">
        <v>1767</v>
      </c>
      <c r="Q627" s="8"/>
      <c r="R627" s="2">
        <v>2</v>
      </c>
      <c r="S627" s="9">
        <v>1500</v>
      </c>
      <c r="T627" s="10">
        <f t="shared" si="86"/>
        <v>1500</v>
      </c>
      <c r="U627" s="9">
        <v>20</v>
      </c>
      <c r="V627" s="10">
        <f t="shared" si="87"/>
        <v>1480</v>
      </c>
      <c r="W627" s="4" t="s">
        <v>122</v>
      </c>
      <c r="X627" s="2"/>
      <c r="Y627" s="11">
        <v>8</v>
      </c>
      <c r="Z627" s="12">
        <f t="shared" si="89"/>
        <v>1</v>
      </c>
      <c r="AA627" s="4" t="s">
        <v>212</v>
      </c>
      <c r="AC627" s="176">
        <f t="shared" si="85"/>
        <v>1.8181818181818181E-2</v>
      </c>
      <c r="AD627"/>
    </row>
    <row r="628" spans="2:30">
      <c r="B628" s="183">
        <f t="shared" si="90"/>
        <v>19</v>
      </c>
      <c r="C628" s="107" t="str">
        <f t="shared" si="91"/>
        <v>ATK</v>
      </c>
      <c r="D628" s="2" t="s">
        <v>1746</v>
      </c>
      <c r="E628" s="3">
        <v>43957</v>
      </c>
      <c r="F628" s="3">
        <v>43957</v>
      </c>
      <c r="G628" s="108">
        <f t="shared" si="92"/>
        <v>5</v>
      </c>
      <c r="H628" s="108" t="str">
        <f t="shared" si="93"/>
        <v>완료</v>
      </c>
      <c r="I628" s="112" t="s">
        <v>1747</v>
      </c>
      <c r="J628" s="4" t="s">
        <v>1749</v>
      </c>
      <c r="K628" s="5" t="s">
        <v>1748</v>
      </c>
      <c r="L628" s="6" t="str">
        <f t="shared" si="88"/>
        <v>EE1</v>
      </c>
      <c r="M628" s="13" t="s">
        <v>1174</v>
      </c>
      <c r="N628" s="7" t="s">
        <v>140</v>
      </c>
      <c r="O628" s="13" t="s">
        <v>1750</v>
      </c>
      <c r="P628" s="115" t="s">
        <v>1751</v>
      </c>
      <c r="Q628" s="8"/>
      <c r="R628" s="2">
        <v>1</v>
      </c>
      <c r="S628" s="9">
        <v>5000</v>
      </c>
      <c r="T628" s="10">
        <f t="shared" si="86"/>
        <v>2500</v>
      </c>
      <c r="U628" s="9">
        <v>60</v>
      </c>
      <c r="V628" s="10">
        <f t="shared" si="87"/>
        <v>2440</v>
      </c>
      <c r="W628" s="4" t="s">
        <v>1752</v>
      </c>
      <c r="X628" s="2"/>
      <c r="Y628" s="11">
        <v>2</v>
      </c>
      <c r="Z628" s="12">
        <f t="shared" si="89"/>
        <v>0</v>
      </c>
      <c r="AA628" s="4" t="s">
        <v>1753</v>
      </c>
      <c r="AC628" s="176">
        <f t="shared" si="85"/>
        <v>5.4545454545454543E-2</v>
      </c>
      <c r="AD628"/>
    </row>
    <row r="629" spans="2:30">
      <c r="B629" s="183">
        <f t="shared" si="90"/>
        <v>19</v>
      </c>
      <c r="C629" s="107" t="str">
        <f t="shared" si="91"/>
        <v>ATK</v>
      </c>
      <c r="D629" s="2" t="s">
        <v>244</v>
      </c>
      <c r="E629" s="3">
        <v>43958</v>
      </c>
      <c r="F629" s="3">
        <v>43958</v>
      </c>
      <c r="G629" s="108">
        <f t="shared" si="92"/>
        <v>5</v>
      </c>
      <c r="H629" s="108" t="str">
        <f t="shared" si="93"/>
        <v>완료</v>
      </c>
      <c r="I629" s="112" t="s">
        <v>218</v>
      </c>
      <c r="J629" s="4" t="s">
        <v>127</v>
      </c>
      <c r="K629" s="5" t="s">
        <v>128</v>
      </c>
      <c r="L629" s="6" t="str">
        <f t="shared" si="88"/>
        <v>1T1</v>
      </c>
      <c r="M629" s="13" t="s">
        <v>1754</v>
      </c>
      <c r="N629" s="7" t="s">
        <v>3640</v>
      </c>
      <c r="O629" s="13" t="s">
        <v>1755</v>
      </c>
      <c r="P629" s="115" t="s">
        <v>1756</v>
      </c>
      <c r="Q629" s="8" t="s">
        <v>1757</v>
      </c>
      <c r="R629" s="2">
        <v>1</v>
      </c>
      <c r="S629" s="9">
        <v>560</v>
      </c>
      <c r="T629" s="10">
        <f t="shared" si="86"/>
        <v>280</v>
      </c>
      <c r="U629" s="9">
        <v>10</v>
      </c>
      <c r="V629" s="10">
        <f t="shared" si="87"/>
        <v>270</v>
      </c>
      <c r="W629" s="4" t="s">
        <v>122</v>
      </c>
      <c r="X629" s="2"/>
      <c r="Y629" s="11">
        <v>3</v>
      </c>
      <c r="Z629" s="12">
        <f t="shared" si="89"/>
        <v>0</v>
      </c>
      <c r="AA629" s="4" t="s">
        <v>120</v>
      </c>
      <c r="AC629" s="176">
        <f t="shared" si="85"/>
        <v>9.0909090909090905E-3</v>
      </c>
      <c r="AD629"/>
    </row>
    <row r="630" spans="2:30">
      <c r="B630" s="183">
        <f t="shared" si="90"/>
        <v>23</v>
      </c>
      <c r="C630" s="107" t="str">
        <f t="shared" si="91"/>
        <v>ATK</v>
      </c>
      <c r="D630" s="2" t="s">
        <v>244</v>
      </c>
      <c r="E630" s="3">
        <v>43958</v>
      </c>
      <c r="F630" s="3">
        <v>43985</v>
      </c>
      <c r="G630" s="108">
        <f t="shared" si="92"/>
        <v>6</v>
      </c>
      <c r="H630" s="108" t="str">
        <f t="shared" si="93"/>
        <v>완료</v>
      </c>
      <c r="I630" s="112" t="s">
        <v>218</v>
      </c>
      <c r="J630" s="4" t="s">
        <v>127</v>
      </c>
      <c r="K630" s="5" t="s">
        <v>128</v>
      </c>
      <c r="L630" s="6" t="str">
        <f t="shared" si="88"/>
        <v>1T1</v>
      </c>
      <c r="M630" s="13" t="s">
        <v>1754</v>
      </c>
      <c r="N630" s="7" t="s">
        <v>3640</v>
      </c>
      <c r="O630" s="13" t="s">
        <v>1755</v>
      </c>
      <c r="P630" s="115" t="s">
        <v>1758</v>
      </c>
      <c r="Q630" s="8" t="s">
        <v>1759</v>
      </c>
      <c r="R630" s="2">
        <v>1</v>
      </c>
      <c r="S630" s="9">
        <v>560</v>
      </c>
      <c r="T630" s="10">
        <f t="shared" si="86"/>
        <v>280</v>
      </c>
      <c r="U630" s="9">
        <v>10</v>
      </c>
      <c r="V630" s="10">
        <f t="shared" si="87"/>
        <v>270</v>
      </c>
      <c r="W630" s="4" t="s">
        <v>122</v>
      </c>
      <c r="X630" s="2"/>
      <c r="Y630" s="11">
        <v>4</v>
      </c>
      <c r="Z630" s="12">
        <f t="shared" si="89"/>
        <v>27</v>
      </c>
      <c r="AA630" s="4" t="s">
        <v>120</v>
      </c>
      <c r="AC630" s="176">
        <f t="shared" si="85"/>
        <v>9.0909090909090905E-3</v>
      </c>
      <c r="AD630"/>
    </row>
    <row r="631" spans="2:30">
      <c r="B631" s="183">
        <f t="shared" si="90"/>
        <v>19</v>
      </c>
      <c r="C631" s="107" t="str">
        <f t="shared" si="91"/>
        <v>ATK</v>
      </c>
      <c r="D631" s="2" t="s">
        <v>1760</v>
      </c>
      <c r="E631" s="3">
        <v>43949</v>
      </c>
      <c r="F631" s="3">
        <v>43958</v>
      </c>
      <c r="G631" s="108">
        <f t="shared" si="92"/>
        <v>5</v>
      </c>
      <c r="H631" s="108" t="str">
        <f t="shared" si="93"/>
        <v>완료</v>
      </c>
      <c r="I631" s="112" t="s">
        <v>218</v>
      </c>
      <c r="J631" s="4" t="s">
        <v>1761</v>
      </c>
      <c r="K631" s="5" t="s">
        <v>1762</v>
      </c>
      <c r="L631" s="6" t="str">
        <f t="shared" si="88"/>
        <v>1T1</v>
      </c>
      <c r="M631" s="13" t="s">
        <v>1763</v>
      </c>
      <c r="N631" s="7" t="s">
        <v>140</v>
      </c>
      <c r="O631" s="13" t="s">
        <v>1657</v>
      </c>
      <c r="P631" s="115" t="s">
        <v>1766</v>
      </c>
      <c r="Q631" s="8"/>
      <c r="R631" s="2">
        <v>1</v>
      </c>
      <c r="S631" s="9">
        <v>1000</v>
      </c>
      <c r="T631" s="10">
        <f t="shared" si="86"/>
        <v>500</v>
      </c>
      <c r="U631" s="9">
        <v>1</v>
      </c>
      <c r="V631" s="10">
        <f t="shared" si="87"/>
        <v>499</v>
      </c>
      <c r="W631" s="4" t="s">
        <v>122</v>
      </c>
      <c r="X631" s="2"/>
      <c r="Y631" s="11">
        <v>3</v>
      </c>
      <c r="Z631" s="12">
        <f t="shared" si="89"/>
        <v>9</v>
      </c>
      <c r="AA631" s="4" t="s">
        <v>1764</v>
      </c>
      <c r="AC631" s="176">
        <f t="shared" si="85"/>
        <v>9.0909090909090909E-4</v>
      </c>
      <c r="AD631"/>
    </row>
    <row r="632" spans="2:30">
      <c r="B632" s="183">
        <f t="shared" si="90"/>
        <v>19</v>
      </c>
      <c r="C632" s="107" t="str">
        <f t="shared" si="91"/>
        <v>ATK</v>
      </c>
      <c r="D632" s="2" t="s">
        <v>1306</v>
      </c>
      <c r="E632" s="3">
        <v>43958</v>
      </c>
      <c r="F632" s="3">
        <v>43958</v>
      </c>
      <c r="G632" s="108">
        <f t="shared" si="92"/>
        <v>5</v>
      </c>
      <c r="H632" s="108" t="str">
        <f t="shared" si="93"/>
        <v>완료</v>
      </c>
      <c r="I632" s="112" t="s">
        <v>218</v>
      </c>
      <c r="J632" s="4" t="s">
        <v>804</v>
      </c>
      <c r="K632" s="5" t="s">
        <v>805</v>
      </c>
      <c r="L632" s="6" t="str">
        <f t="shared" si="88"/>
        <v>5T1</v>
      </c>
      <c r="M632" s="13" t="s">
        <v>207</v>
      </c>
      <c r="N632" s="7" t="s">
        <v>3748</v>
      </c>
      <c r="O632" s="13" t="s">
        <v>339</v>
      </c>
      <c r="P632" s="115" t="s">
        <v>1765</v>
      </c>
      <c r="Q632" s="8"/>
      <c r="R632" s="2">
        <v>1</v>
      </c>
      <c r="S632" s="9">
        <v>1200</v>
      </c>
      <c r="T632" s="10">
        <f t="shared" si="86"/>
        <v>600</v>
      </c>
      <c r="U632" s="9">
        <v>0</v>
      </c>
      <c r="V632" s="10">
        <f t="shared" si="87"/>
        <v>600</v>
      </c>
      <c r="W632" s="4" t="s">
        <v>249</v>
      </c>
      <c r="X632" s="2"/>
      <c r="Y632" s="11">
        <v>3</v>
      </c>
      <c r="Z632" s="12">
        <f t="shared" si="89"/>
        <v>0</v>
      </c>
      <c r="AA632" s="4" t="s">
        <v>174</v>
      </c>
      <c r="AC632" s="176">
        <f t="shared" si="85"/>
        <v>0</v>
      </c>
      <c r="AD632"/>
    </row>
    <row r="633" spans="2:30">
      <c r="B633" s="183">
        <f t="shared" si="90"/>
        <v>20</v>
      </c>
      <c r="C633" s="107" t="str">
        <f t="shared" si="91"/>
        <v>ATK</v>
      </c>
      <c r="D633" s="2" t="s">
        <v>280</v>
      </c>
      <c r="E633" s="3">
        <v>43958</v>
      </c>
      <c r="F633" s="3">
        <v>43965</v>
      </c>
      <c r="G633" s="108">
        <f t="shared" si="92"/>
        <v>5</v>
      </c>
      <c r="H633" s="108" t="str">
        <f t="shared" si="93"/>
        <v>완료</v>
      </c>
      <c r="I633" s="112" t="s">
        <v>218</v>
      </c>
      <c r="J633" s="4" t="s">
        <v>115</v>
      </c>
      <c r="K633" s="5" t="s">
        <v>138</v>
      </c>
      <c r="L633" s="6" t="str">
        <f t="shared" si="88"/>
        <v>EE1</v>
      </c>
      <c r="M633" s="13" t="s">
        <v>1143</v>
      </c>
      <c r="N633" s="7" t="s">
        <v>3749</v>
      </c>
      <c r="O633" s="7" t="s">
        <v>1768</v>
      </c>
      <c r="P633" s="115" t="s">
        <v>1769</v>
      </c>
      <c r="Q633" s="8"/>
      <c r="R633" s="2">
        <v>1</v>
      </c>
      <c r="S633" s="9">
        <v>1500</v>
      </c>
      <c r="T633" s="10">
        <f t="shared" si="86"/>
        <v>750</v>
      </c>
      <c r="U633" s="9"/>
      <c r="V633" s="10">
        <f t="shared" si="87"/>
        <v>750</v>
      </c>
      <c r="W633" s="4" t="s">
        <v>249</v>
      </c>
      <c r="X633" s="2"/>
      <c r="Y633" s="11">
        <v>5</v>
      </c>
      <c r="Z633" s="12">
        <f t="shared" si="89"/>
        <v>7</v>
      </c>
      <c r="AA633" s="4" t="s">
        <v>212</v>
      </c>
      <c r="AC633" s="176">
        <f t="shared" ref="AC633:AC696" si="94">U633/1100</f>
        <v>0</v>
      </c>
      <c r="AD633"/>
    </row>
    <row r="634" spans="2:30">
      <c r="B634" s="183">
        <f t="shared" si="90"/>
        <v>19</v>
      </c>
      <c r="C634" s="107" t="str">
        <f t="shared" si="91"/>
        <v>ATK</v>
      </c>
      <c r="D634" s="2" t="s">
        <v>255</v>
      </c>
      <c r="E634" s="3">
        <v>43958</v>
      </c>
      <c r="F634" s="3">
        <v>43958</v>
      </c>
      <c r="G634" s="108">
        <f t="shared" si="92"/>
        <v>5</v>
      </c>
      <c r="H634" s="108" t="str">
        <f t="shared" si="93"/>
        <v>완료</v>
      </c>
      <c r="I634" s="112" t="s">
        <v>218</v>
      </c>
      <c r="J634" s="4" t="s">
        <v>127</v>
      </c>
      <c r="K634" s="5" t="s">
        <v>135</v>
      </c>
      <c r="L634" s="6" t="str">
        <f t="shared" si="88"/>
        <v>1T3</v>
      </c>
      <c r="M634" s="13" t="s">
        <v>256</v>
      </c>
      <c r="N634" s="7" t="s">
        <v>3529</v>
      </c>
      <c r="O634" s="13" t="s">
        <v>1402</v>
      </c>
      <c r="P634" s="115" t="s">
        <v>330</v>
      </c>
      <c r="Q634" s="8"/>
      <c r="R634" s="2">
        <v>1</v>
      </c>
      <c r="S634" s="9">
        <v>3500</v>
      </c>
      <c r="T634" s="10">
        <f t="shared" si="86"/>
        <v>1750</v>
      </c>
      <c r="U634" s="9">
        <v>0</v>
      </c>
      <c r="V634" s="10">
        <f t="shared" si="87"/>
        <v>1750</v>
      </c>
      <c r="W634" s="4" t="s">
        <v>249</v>
      </c>
      <c r="X634" s="2"/>
      <c r="Y634" s="11">
        <v>2</v>
      </c>
      <c r="Z634" s="12">
        <f t="shared" si="89"/>
        <v>0</v>
      </c>
      <c r="AA634" s="4" t="s">
        <v>27</v>
      </c>
      <c r="AC634" s="176">
        <f t="shared" si="94"/>
        <v>0</v>
      </c>
      <c r="AD634"/>
    </row>
    <row r="635" spans="2:30">
      <c r="B635" s="183">
        <f t="shared" si="90"/>
        <v>20</v>
      </c>
      <c r="C635" s="107" t="str">
        <f t="shared" si="91"/>
        <v>ATK</v>
      </c>
      <c r="D635" s="2" t="s">
        <v>1770</v>
      </c>
      <c r="E635" s="3">
        <v>43958</v>
      </c>
      <c r="F635" s="3">
        <v>43962</v>
      </c>
      <c r="G635" s="108">
        <f t="shared" si="92"/>
        <v>5</v>
      </c>
      <c r="H635" s="108" t="str">
        <f t="shared" si="93"/>
        <v>완료</v>
      </c>
      <c r="I635" s="112" t="s">
        <v>218</v>
      </c>
      <c r="J635" s="4" t="s">
        <v>118</v>
      </c>
      <c r="K635" s="5" t="s">
        <v>119</v>
      </c>
      <c r="L635" s="6" t="str">
        <f t="shared" si="88"/>
        <v>2T3</v>
      </c>
      <c r="M635" s="13" t="s">
        <v>1773</v>
      </c>
      <c r="N635" s="7" t="s">
        <v>3746</v>
      </c>
      <c r="O635" s="13" t="s">
        <v>1771</v>
      </c>
      <c r="P635" s="115" t="s">
        <v>1772</v>
      </c>
      <c r="Q635" s="8"/>
      <c r="R635" s="2">
        <v>2</v>
      </c>
      <c r="S635" s="9">
        <v>1200</v>
      </c>
      <c r="T635" s="10">
        <f t="shared" si="86"/>
        <v>1200</v>
      </c>
      <c r="U635" s="9">
        <v>50</v>
      </c>
      <c r="V635" s="10">
        <f t="shared" si="87"/>
        <v>1150</v>
      </c>
      <c r="W635" s="4" t="s">
        <v>122</v>
      </c>
      <c r="X635" s="2"/>
      <c r="Y635" s="11">
        <v>7</v>
      </c>
      <c r="Z635" s="12">
        <f t="shared" si="89"/>
        <v>4</v>
      </c>
      <c r="AA635" s="4" t="s">
        <v>259</v>
      </c>
      <c r="AC635" s="176">
        <f t="shared" si="94"/>
        <v>4.5454545454545456E-2</v>
      </c>
      <c r="AD635"/>
    </row>
    <row r="636" spans="2:30">
      <c r="B636" s="183">
        <f t="shared" si="90"/>
        <v>19</v>
      </c>
      <c r="C636" s="107" t="str">
        <f t="shared" si="91"/>
        <v>ATK</v>
      </c>
      <c r="D636" s="2" t="s">
        <v>1770</v>
      </c>
      <c r="E636" s="3">
        <v>43958</v>
      </c>
      <c r="F636" s="3">
        <v>43958</v>
      </c>
      <c r="G636" s="108">
        <f t="shared" si="92"/>
        <v>5</v>
      </c>
      <c r="H636" s="108" t="str">
        <f t="shared" si="93"/>
        <v>수리불가</v>
      </c>
      <c r="I636" s="112" t="s">
        <v>601</v>
      </c>
      <c r="J636" s="4" t="s">
        <v>118</v>
      </c>
      <c r="K636" s="5" t="s">
        <v>119</v>
      </c>
      <c r="L636" s="6" t="str">
        <f t="shared" si="88"/>
        <v>2T3</v>
      </c>
      <c r="M636" s="13" t="s">
        <v>1773</v>
      </c>
      <c r="N636" s="7" t="s">
        <v>3546</v>
      </c>
      <c r="O636" s="13" t="s">
        <v>1032</v>
      </c>
      <c r="P636" s="115" t="s">
        <v>1522</v>
      </c>
      <c r="Q636" s="8"/>
      <c r="R636" s="2">
        <v>1</v>
      </c>
      <c r="S636" s="9">
        <v>400</v>
      </c>
      <c r="T636" s="10">
        <f t="shared" si="86"/>
        <v>200</v>
      </c>
      <c r="U636" s="9">
        <v>0</v>
      </c>
      <c r="V636" s="10">
        <f t="shared" si="87"/>
        <v>200</v>
      </c>
      <c r="W636" s="4" t="s">
        <v>122</v>
      </c>
      <c r="X636" s="2"/>
      <c r="Y636" s="11">
        <v>1</v>
      </c>
      <c r="Z636" s="12">
        <f t="shared" si="89"/>
        <v>0</v>
      </c>
      <c r="AA636" s="4" t="s">
        <v>117</v>
      </c>
      <c r="AC636" s="176">
        <f t="shared" si="94"/>
        <v>0</v>
      </c>
      <c r="AD636"/>
    </row>
    <row r="637" spans="2:30">
      <c r="B637" s="183">
        <f t="shared" si="90"/>
        <v>19</v>
      </c>
      <c r="C637" s="107" t="str">
        <f t="shared" si="91"/>
        <v>ATK</v>
      </c>
      <c r="D637" s="2" t="s">
        <v>1774</v>
      </c>
      <c r="E637" s="3">
        <v>43958</v>
      </c>
      <c r="F637" s="3">
        <v>43959</v>
      </c>
      <c r="G637" s="108">
        <f t="shared" si="92"/>
        <v>5</v>
      </c>
      <c r="H637" s="108" t="str">
        <f t="shared" si="93"/>
        <v>완료</v>
      </c>
      <c r="I637" s="112" t="s">
        <v>218</v>
      </c>
      <c r="J637" s="4" t="s">
        <v>132</v>
      </c>
      <c r="K637" s="5" t="s">
        <v>322</v>
      </c>
      <c r="L637" s="6" t="str">
        <f t="shared" si="88"/>
        <v>3T1</v>
      </c>
      <c r="M637" s="13" t="s">
        <v>1775</v>
      </c>
      <c r="N637" s="7"/>
      <c r="O637" s="13" t="s">
        <v>1002</v>
      </c>
      <c r="P637" s="115"/>
      <c r="Q637" s="8"/>
      <c r="R637" s="2">
        <v>2</v>
      </c>
      <c r="S637" s="9">
        <v>900</v>
      </c>
      <c r="T637" s="10">
        <f t="shared" ref="T637:T700" si="95">(S637*50)/100*R637</f>
        <v>900</v>
      </c>
      <c r="U637" s="9">
        <v>20</v>
      </c>
      <c r="V637" s="10">
        <f t="shared" ref="V637:V700" si="96">T637-U637</f>
        <v>880</v>
      </c>
      <c r="W637" s="4" t="s">
        <v>122</v>
      </c>
      <c r="X637" s="2"/>
      <c r="Y637" s="11">
        <v>2</v>
      </c>
      <c r="Z637" s="12">
        <f t="shared" si="89"/>
        <v>1</v>
      </c>
      <c r="AA637" s="4" t="s">
        <v>117</v>
      </c>
      <c r="AC637" s="176">
        <f t="shared" si="94"/>
        <v>1.8181818181818181E-2</v>
      </c>
      <c r="AD637"/>
    </row>
    <row r="638" spans="2:30">
      <c r="B638" s="183">
        <f t="shared" si="90"/>
        <v>19</v>
      </c>
      <c r="C638" s="107" t="str">
        <f t="shared" si="91"/>
        <v>ATK</v>
      </c>
      <c r="D638" s="2" t="s">
        <v>361</v>
      </c>
      <c r="E638" s="3">
        <v>43959</v>
      </c>
      <c r="F638" s="3">
        <v>43959</v>
      </c>
      <c r="G638" s="108">
        <f t="shared" si="92"/>
        <v>5</v>
      </c>
      <c r="H638" s="108" t="str">
        <f t="shared" si="93"/>
        <v>완료</v>
      </c>
      <c r="I638" s="112" t="s">
        <v>218</v>
      </c>
      <c r="J638" s="4" t="s">
        <v>127</v>
      </c>
      <c r="K638" s="5" t="s">
        <v>135</v>
      </c>
      <c r="L638" s="6" t="str">
        <f t="shared" si="88"/>
        <v>1T3</v>
      </c>
      <c r="M638" s="13" t="s">
        <v>256</v>
      </c>
      <c r="N638" s="13" t="s">
        <v>3527</v>
      </c>
      <c r="O638" s="7" t="s">
        <v>362</v>
      </c>
      <c r="P638" s="115" t="s">
        <v>1776</v>
      </c>
      <c r="Q638" s="8"/>
      <c r="R638" s="2">
        <v>2</v>
      </c>
      <c r="S638" s="9">
        <v>500</v>
      </c>
      <c r="T638" s="10">
        <f t="shared" si="95"/>
        <v>500</v>
      </c>
      <c r="U638" s="9">
        <v>400</v>
      </c>
      <c r="V638" s="10">
        <f t="shared" si="96"/>
        <v>100</v>
      </c>
      <c r="W638" s="4" t="s">
        <v>122</v>
      </c>
      <c r="X638" s="2"/>
      <c r="Y638" s="11">
        <v>2</v>
      </c>
      <c r="Z638" s="12">
        <f t="shared" si="89"/>
        <v>0</v>
      </c>
      <c r="AA638" s="4" t="s">
        <v>174</v>
      </c>
      <c r="AC638" s="176">
        <f t="shared" si="94"/>
        <v>0.36363636363636365</v>
      </c>
      <c r="AD638"/>
    </row>
    <row r="639" spans="2:30">
      <c r="B639" s="183">
        <f t="shared" si="90"/>
        <v>19</v>
      </c>
      <c r="C639" s="107" t="str">
        <f t="shared" si="91"/>
        <v>ATK</v>
      </c>
      <c r="D639" s="2" t="s">
        <v>1777</v>
      </c>
      <c r="E639" s="3">
        <v>43955</v>
      </c>
      <c r="F639" s="3">
        <v>43959</v>
      </c>
      <c r="G639" s="108">
        <f t="shared" si="92"/>
        <v>5</v>
      </c>
      <c r="H639" s="108" t="str">
        <f t="shared" si="93"/>
        <v>완료</v>
      </c>
      <c r="I639" s="112" t="s">
        <v>218</v>
      </c>
      <c r="J639" s="4" t="s">
        <v>132</v>
      </c>
      <c r="K639" s="5" t="s">
        <v>143</v>
      </c>
      <c r="L639" s="6" t="str">
        <f t="shared" si="88"/>
        <v>3T4</v>
      </c>
      <c r="M639" s="13" t="s">
        <v>270</v>
      </c>
      <c r="N639" s="7" t="s">
        <v>3750</v>
      </c>
      <c r="O639" s="13" t="s">
        <v>270</v>
      </c>
      <c r="P639" s="115" t="s">
        <v>1778</v>
      </c>
      <c r="Q639" s="8"/>
      <c r="R639" s="2">
        <v>2</v>
      </c>
      <c r="S639" s="9">
        <v>700</v>
      </c>
      <c r="T639" s="10">
        <f t="shared" si="95"/>
        <v>700</v>
      </c>
      <c r="U639" s="9">
        <v>0</v>
      </c>
      <c r="V639" s="10">
        <f t="shared" si="96"/>
        <v>700</v>
      </c>
      <c r="W639" s="4" t="s">
        <v>1779</v>
      </c>
      <c r="X639" s="2"/>
      <c r="Y639" s="11">
        <v>3</v>
      </c>
      <c r="Z639" s="12">
        <f t="shared" si="89"/>
        <v>4</v>
      </c>
      <c r="AA639" s="4" t="s">
        <v>1780</v>
      </c>
      <c r="AC639" s="176">
        <f t="shared" si="94"/>
        <v>0</v>
      </c>
      <c r="AD639"/>
    </row>
    <row r="640" spans="2:30">
      <c r="B640" s="183">
        <f t="shared" si="90"/>
        <v>19</v>
      </c>
      <c r="C640" s="107" t="str">
        <f t="shared" si="91"/>
        <v>ATK</v>
      </c>
      <c r="D640" s="2" t="s">
        <v>291</v>
      </c>
      <c r="E640" s="3">
        <v>43959</v>
      </c>
      <c r="F640" s="3">
        <v>43959</v>
      </c>
      <c r="G640" s="108">
        <f t="shared" si="92"/>
        <v>5</v>
      </c>
      <c r="H640" s="108" t="str">
        <f t="shared" si="93"/>
        <v>완료</v>
      </c>
      <c r="I640" s="112" t="s">
        <v>218</v>
      </c>
      <c r="J640" s="4" t="s">
        <v>265</v>
      </c>
      <c r="K640" s="5" t="s">
        <v>793</v>
      </c>
      <c r="L640" s="6" t="str">
        <f t="shared" si="88"/>
        <v>3T3</v>
      </c>
      <c r="M640" s="13" t="s">
        <v>1781</v>
      </c>
      <c r="N640" s="7" t="s">
        <v>3751</v>
      </c>
      <c r="O640" s="7" t="s">
        <v>1700</v>
      </c>
      <c r="P640" s="115" t="s">
        <v>654</v>
      </c>
      <c r="Q640" s="8"/>
      <c r="R640" s="2">
        <v>1</v>
      </c>
      <c r="S640" s="9">
        <v>200</v>
      </c>
      <c r="T640" s="10">
        <f t="shared" si="95"/>
        <v>100</v>
      </c>
      <c r="U640" s="9">
        <v>100</v>
      </c>
      <c r="V640" s="10">
        <f t="shared" si="96"/>
        <v>0</v>
      </c>
      <c r="W640" s="4" t="s">
        <v>249</v>
      </c>
      <c r="X640" s="2"/>
      <c r="Y640" s="11">
        <v>5</v>
      </c>
      <c r="Z640" s="12">
        <f t="shared" si="89"/>
        <v>0</v>
      </c>
      <c r="AA640" s="4" t="s">
        <v>212</v>
      </c>
      <c r="AC640" s="176">
        <f t="shared" si="94"/>
        <v>9.0909090909090912E-2</v>
      </c>
      <c r="AD640"/>
    </row>
    <row r="641" spans="2:30">
      <c r="B641" s="183">
        <f t="shared" si="90"/>
        <v>19</v>
      </c>
      <c r="C641" s="107" t="str">
        <f t="shared" si="91"/>
        <v>ATK</v>
      </c>
      <c r="D641" s="2" t="s">
        <v>1157</v>
      </c>
      <c r="E641" s="3">
        <v>43959</v>
      </c>
      <c r="F641" s="3">
        <v>43959</v>
      </c>
      <c r="G641" s="108">
        <f t="shared" si="92"/>
        <v>5</v>
      </c>
      <c r="H641" s="108" t="str">
        <f t="shared" si="93"/>
        <v>완료</v>
      </c>
      <c r="I641" s="112" t="s">
        <v>218</v>
      </c>
      <c r="J641" s="4" t="s">
        <v>118</v>
      </c>
      <c r="K641" s="5" t="s">
        <v>119</v>
      </c>
      <c r="L641" s="6" t="str">
        <f t="shared" si="88"/>
        <v>2T3</v>
      </c>
      <c r="M641" s="13" t="s">
        <v>270</v>
      </c>
      <c r="N641" s="7" t="s">
        <v>3598</v>
      </c>
      <c r="O641" s="13" t="s">
        <v>270</v>
      </c>
      <c r="P641" s="115" t="s">
        <v>271</v>
      </c>
      <c r="Q641" s="8" t="s">
        <v>1787</v>
      </c>
      <c r="R641" s="2">
        <v>1</v>
      </c>
      <c r="S641" s="9">
        <v>1600</v>
      </c>
      <c r="T641" s="10">
        <f t="shared" si="95"/>
        <v>800</v>
      </c>
      <c r="U641" s="9">
        <v>0</v>
      </c>
      <c r="V641" s="10">
        <f t="shared" si="96"/>
        <v>800</v>
      </c>
      <c r="W641" s="4" t="s">
        <v>122</v>
      </c>
      <c r="X641" s="2"/>
      <c r="Y641" s="11">
        <v>2</v>
      </c>
      <c r="Z641" s="12">
        <f t="shared" si="89"/>
        <v>0</v>
      </c>
      <c r="AA641" s="4" t="s">
        <v>174</v>
      </c>
      <c r="AC641" s="176">
        <f t="shared" si="94"/>
        <v>0</v>
      </c>
      <c r="AD641"/>
    </row>
    <row r="642" spans="2:30">
      <c r="B642" s="183">
        <f t="shared" si="90"/>
        <v>19</v>
      </c>
      <c r="C642" s="107" t="str">
        <f t="shared" si="91"/>
        <v>ATK</v>
      </c>
      <c r="D642" s="2" t="s">
        <v>255</v>
      </c>
      <c r="E642" s="3">
        <v>43959</v>
      </c>
      <c r="F642" s="3">
        <v>43959</v>
      </c>
      <c r="G642" s="108">
        <f t="shared" si="92"/>
        <v>5</v>
      </c>
      <c r="H642" s="108" t="str">
        <f t="shared" si="93"/>
        <v>완료</v>
      </c>
      <c r="I642" s="112" t="s">
        <v>218</v>
      </c>
      <c r="J642" s="4" t="s">
        <v>127</v>
      </c>
      <c r="K642" s="5" t="s">
        <v>135</v>
      </c>
      <c r="L642" s="6" t="str">
        <f t="shared" ref="L642:L705" si="97">LEFT(K642,3)</f>
        <v>1T3</v>
      </c>
      <c r="M642" s="13" t="s">
        <v>256</v>
      </c>
      <c r="N642" s="7" t="s">
        <v>3529</v>
      </c>
      <c r="O642" s="13" t="s">
        <v>1782</v>
      </c>
      <c r="P642" s="115" t="s">
        <v>1783</v>
      </c>
      <c r="Q642" s="8"/>
      <c r="R642" s="2">
        <v>1</v>
      </c>
      <c r="S642" s="9">
        <v>4500</v>
      </c>
      <c r="T642" s="10">
        <f t="shared" si="95"/>
        <v>2250</v>
      </c>
      <c r="U642" s="9">
        <v>50</v>
      </c>
      <c r="V642" s="10">
        <f t="shared" si="96"/>
        <v>2200</v>
      </c>
      <c r="W642" s="4" t="s">
        <v>122</v>
      </c>
      <c r="X642" s="2"/>
      <c r="Y642" s="11">
        <v>3</v>
      </c>
      <c r="Z642" s="12">
        <f t="shared" ref="Z642:Z705" si="98">F642-E642</f>
        <v>0</v>
      </c>
      <c r="AA642" s="4" t="s">
        <v>27</v>
      </c>
      <c r="AC642" s="176">
        <f t="shared" si="94"/>
        <v>4.5454545454545456E-2</v>
      </c>
      <c r="AD642"/>
    </row>
    <row r="643" spans="2:30">
      <c r="B643" s="183">
        <f t="shared" ref="B643:B706" si="99">IF(F643&gt;0,IFERROR(WEEKNUM(F643),""),"")</f>
        <v>19</v>
      </c>
      <c r="C643" s="107" t="str">
        <f t="shared" ref="C643:C706" si="100">IF(D643=0,"",(IF(LEFT(D643,3)="ATK","ATK",IF(LEFT(D643,2)="AT",D643,"ATK"))))</f>
        <v>ATK</v>
      </c>
      <c r="D643" s="2" t="s">
        <v>1306</v>
      </c>
      <c r="E643" s="3">
        <v>43923</v>
      </c>
      <c r="F643" s="3">
        <v>43959</v>
      </c>
      <c r="G643" s="108">
        <f t="shared" ref="G643:G706" si="101">IF(F643&gt;0,MONTH(F643),"")</f>
        <v>5</v>
      </c>
      <c r="H643" s="108" t="str">
        <f t="shared" ref="H643:H706" si="102">IF(I643=0,"",IF(RIGHT(I643,2)="완료","완료",IF(RIGHT(I643,2)="불가","수리불가",IF(RIGHT(I643,1)="중","수리중","Other"))))</f>
        <v>완료</v>
      </c>
      <c r="I643" s="112" t="s">
        <v>218</v>
      </c>
      <c r="J643" s="4" t="s">
        <v>121</v>
      </c>
      <c r="K643" s="5" t="s">
        <v>136</v>
      </c>
      <c r="L643" s="6" t="str">
        <f t="shared" si="97"/>
        <v>5T1</v>
      </c>
      <c r="M643" s="13" t="s">
        <v>1784</v>
      </c>
      <c r="N643" s="7" t="s">
        <v>3752</v>
      </c>
      <c r="O643" s="13" t="s">
        <v>1785</v>
      </c>
      <c r="P643" s="115" t="s">
        <v>1786</v>
      </c>
      <c r="Q643" s="8"/>
      <c r="R643" s="2">
        <v>1</v>
      </c>
      <c r="S643" s="9">
        <v>100</v>
      </c>
      <c r="T643" s="10">
        <f t="shared" si="95"/>
        <v>50</v>
      </c>
      <c r="U643" s="9">
        <v>12</v>
      </c>
      <c r="V643" s="10">
        <f t="shared" si="96"/>
        <v>38</v>
      </c>
      <c r="W643" s="4" t="s">
        <v>122</v>
      </c>
      <c r="X643" s="2"/>
      <c r="Y643" s="11">
        <v>5</v>
      </c>
      <c r="Z643" s="12">
        <f t="shared" si="98"/>
        <v>36</v>
      </c>
      <c r="AA643" s="4" t="s">
        <v>120</v>
      </c>
      <c r="AC643" s="176">
        <f t="shared" si="94"/>
        <v>1.090909090909091E-2</v>
      </c>
      <c r="AD643"/>
    </row>
    <row r="644" spans="2:30">
      <c r="B644" s="183">
        <f t="shared" si="99"/>
        <v>20</v>
      </c>
      <c r="C644" s="107" t="str">
        <f t="shared" si="100"/>
        <v>ATK</v>
      </c>
      <c r="D644" s="2" t="s">
        <v>269</v>
      </c>
      <c r="E644" s="3">
        <v>43962</v>
      </c>
      <c r="F644" s="3">
        <v>43962</v>
      </c>
      <c r="G644" s="108">
        <f t="shared" si="101"/>
        <v>5</v>
      </c>
      <c r="H644" s="108" t="str">
        <f t="shared" si="102"/>
        <v>완료</v>
      </c>
      <c r="I644" s="112" t="s">
        <v>218</v>
      </c>
      <c r="J644" s="4" t="s">
        <v>121</v>
      </c>
      <c r="K644" s="5" t="s">
        <v>1788</v>
      </c>
      <c r="L644" s="6" t="str">
        <f t="shared" si="97"/>
        <v>5T1</v>
      </c>
      <c r="M644" s="13" t="s">
        <v>270</v>
      </c>
      <c r="N644" s="13" t="s">
        <v>3510</v>
      </c>
      <c r="O644" s="7" t="s">
        <v>270</v>
      </c>
      <c r="P644" s="115" t="s">
        <v>271</v>
      </c>
      <c r="Q644" s="8"/>
      <c r="R644" s="2">
        <v>2</v>
      </c>
      <c r="S644" s="9">
        <v>1892</v>
      </c>
      <c r="T644" s="10">
        <f t="shared" si="95"/>
        <v>1892</v>
      </c>
      <c r="U644" s="9">
        <v>100</v>
      </c>
      <c r="V644" s="10">
        <f t="shared" si="96"/>
        <v>1792</v>
      </c>
      <c r="W644" s="4" t="s">
        <v>122</v>
      </c>
      <c r="X644" s="2"/>
      <c r="Y644" s="11">
        <v>4</v>
      </c>
      <c r="Z644" s="12">
        <f t="shared" si="98"/>
        <v>0</v>
      </c>
      <c r="AA644" s="4" t="s">
        <v>174</v>
      </c>
      <c r="AC644" s="176">
        <f t="shared" si="94"/>
        <v>9.0909090909090912E-2</v>
      </c>
      <c r="AD644"/>
    </row>
    <row r="645" spans="2:30">
      <c r="B645" s="183">
        <f t="shared" si="99"/>
        <v>20</v>
      </c>
      <c r="C645" s="107" t="str">
        <f t="shared" si="100"/>
        <v>ATK</v>
      </c>
      <c r="D645" s="2" t="s">
        <v>1789</v>
      </c>
      <c r="E645" s="3">
        <v>43962</v>
      </c>
      <c r="F645" s="3">
        <v>43962</v>
      </c>
      <c r="G645" s="108">
        <f t="shared" si="101"/>
        <v>5</v>
      </c>
      <c r="H645" s="108" t="str">
        <f t="shared" si="102"/>
        <v>Other</v>
      </c>
      <c r="I645" s="193" t="s">
        <v>1790</v>
      </c>
      <c r="J645" s="4" t="s">
        <v>127</v>
      </c>
      <c r="K645" s="5" t="s">
        <v>128</v>
      </c>
      <c r="L645" s="6" t="str">
        <f t="shared" si="97"/>
        <v>1T1</v>
      </c>
      <c r="M645" s="13" t="s">
        <v>270</v>
      </c>
      <c r="N645" s="7" t="s">
        <v>3490</v>
      </c>
      <c r="O645" s="13" t="s">
        <v>1200</v>
      </c>
      <c r="P645" s="115" t="s">
        <v>1345</v>
      </c>
      <c r="Q645" s="8"/>
      <c r="R645" s="2">
        <v>1</v>
      </c>
      <c r="S645" s="9">
        <v>1900</v>
      </c>
      <c r="T645" s="10">
        <f t="shared" si="95"/>
        <v>950</v>
      </c>
      <c r="U645" s="9">
        <v>0</v>
      </c>
      <c r="V645" s="10">
        <f t="shared" si="96"/>
        <v>950</v>
      </c>
      <c r="W645" s="4" t="s">
        <v>1791</v>
      </c>
      <c r="X645" s="2"/>
      <c r="Y645" s="11">
        <v>1</v>
      </c>
      <c r="Z645" s="12">
        <f t="shared" si="98"/>
        <v>0</v>
      </c>
      <c r="AA645" s="4" t="s">
        <v>1792</v>
      </c>
      <c r="AC645" s="176">
        <f t="shared" si="94"/>
        <v>0</v>
      </c>
      <c r="AD645"/>
    </row>
    <row r="646" spans="2:30">
      <c r="B646" s="183">
        <f t="shared" si="99"/>
        <v>20</v>
      </c>
      <c r="C646" s="107" t="str">
        <f t="shared" si="100"/>
        <v>ATK</v>
      </c>
      <c r="D646" s="2" t="s">
        <v>1793</v>
      </c>
      <c r="E646" s="3">
        <v>43962</v>
      </c>
      <c r="F646" s="3">
        <v>43962</v>
      </c>
      <c r="G646" s="108">
        <f t="shared" si="101"/>
        <v>5</v>
      </c>
      <c r="H646" s="108" t="str">
        <f t="shared" si="102"/>
        <v>완료</v>
      </c>
      <c r="I646" s="112" t="s">
        <v>218</v>
      </c>
      <c r="J646" s="4" t="s">
        <v>118</v>
      </c>
      <c r="K646" s="5" t="s">
        <v>137</v>
      </c>
      <c r="L646" s="6" t="str">
        <f t="shared" si="97"/>
        <v>2T2</v>
      </c>
      <c r="M646" s="13"/>
      <c r="N646" s="7" t="s">
        <v>3753</v>
      </c>
      <c r="O646" s="13" t="s">
        <v>1794</v>
      </c>
      <c r="P646" s="115" t="s">
        <v>1795</v>
      </c>
      <c r="Q646" s="8"/>
      <c r="R646" s="2">
        <v>1</v>
      </c>
      <c r="S646" s="9">
        <v>1200</v>
      </c>
      <c r="T646" s="10">
        <f t="shared" si="95"/>
        <v>600</v>
      </c>
      <c r="U646" s="9">
        <v>5</v>
      </c>
      <c r="V646" s="10">
        <f t="shared" si="96"/>
        <v>595</v>
      </c>
      <c r="W646" s="4" t="s">
        <v>122</v>
      </c>
      <c r="X646" s="2"/>
      <c r="Y646" s="11">
        <v>3</v>
      </c>
      <c r="Z646" s="12">
        <f t="shared" si="98"/>
        <v>0</v>
      </c>
      <c r="AA646" s="4" t="s">
        <v>259</v>
      </c>
      <c r="AC646" s="176">
        <f t="shared" si="94"/>
        <v>4.5454545454545452E-3</v>
      </c>
      <c r="AD646"/>
    </row>
    <row r="647" spans="2:30">
      <c r="B647" s="183">
        <f t="shared" si="99"/>
        <v>20</v>
      </c>
      <c r="C647" s="107" t="str">
        <f t="shared" si="100"/>
        <v>ATK</v>
      </c>
      <c r="D647" s="2" t="s">
        <v>541</v>
      </c>
      <c r="E647" s="3">
        <v>43958</v>
      </c>
      <c r="F647" s="3">
        <v>43962</v>
      </c>
      <c r="G647" s="108">
        <f t="shared" si="101"/>
        <v>5</v>
      </c>
      <c r="H647" s="108" t="str">
        <f t="shared" si="102"/>
        <v>완료</v>
      </c>
      <c r="I647" s="112" t="s">
        <v>218</v>
      </c>
      <c r="J647" s="4" t="s">
        <v>132</v>
      </c>
      <c r="K647" s="5" t="s">
        <v>322</v>
      </c>
      <c r="L647" s="6" t="str">
        <f t="shared" si="97"/>
        <v>3T1</v>
      </c>
      <c r="M647" s="13" t="s">
        <v>207</v>
      </c>
      <c r="N647" s="13" t="s">
        <v>3563</v>
      </c>
      <c r="O647" s="7" t="s">
        <v>339</v>
      </c>
      <c r="P647" s="115" t="s">
        <v>1796</v>
      </c>
      <c r="Q647" s="8"/>
      <c r="R647" s="2">
        <v>1</v>
      </c>
      <c r="S647" s="9">
        <v>3000</v>
      </c>
      <c r="T647" s="10">
        <f t="shared" si="95"/>
        <v>1500</v>
      </c>
      <c r="U647" s="9">
        <v>0</v>
      </c>
      <c r="V647" s="10">
        <f t="shared" si="96"/>
        <v>1500</v>
      </c>
      <c r="W647" s="4" t="s">
        <v>122</v>
      </c>
      <c r="X647" s="2"/>
      <c r="Y647" s="11">
        <v>3</v>
      </c>
      <c r="Z647" s="12">
        <f t="shared" si="98"/>
        <v>4</v>
      </c>
      <c r="AA647" s="4" t="s">
        <v>174</v>
      </c>
      <c r="AC647" s="176">
        <f t="shared" si="94"/>
        <v>0</v>
      </c>
      <c r="AD647"/>
    </row>
    <row r="648" spans="2:30">
      <c r="B648" s="183">
        <f t="shared" si="99"/>
        <v>20</v>
      </c>
      <c r="C648" s="107" t="str">
        <f t="shared" si="100"/>
        <v>ATK</v>
      </c>
      <c r="D648" s="2" t="s">
        <v>1797</v>
      </c>
      <c r="E648" s="3">
        <v>43962</v>
      </c>
      <c r="F648" s="3">
        <v>43962</v>
      </c>
      <c r="G648" s="108">
        <f t="shared" si="101"/>
        <v>5</v>
      </c>
      <c r="H648" s="108" t="str">
        <f t="shared" si="102"/>
        <v>완료</v>
      </c>
      <c r="I648" s="112" t="s">
        <v>218</v>
      </c>
      <c r="J648" s="4" t="s">
        <v>132</v>
      </c>
      <c r="K648" s="5" t="s">
        <v>143</v>
      </c>
      <c r="L648" s="6" t="str">
        <f t="shared" si="97"/>
        <v>3T4</v>
      </c>
      <c r="M648" s="13" t="s">
        <v>1798</v>
      </c>
      <c r="N648" s="7" t="s">
        <v>3754</v>
      </c>
      <c r="O648" s="13" t="s">
        <v>537</v>
      </c>
      <c r="P648" s="115" t="s">
        <v>1799</v>
      </c>
      <c r="Q648" s="8"/>
      <c r="R648" s="2">
        <v>1</v>
      </c>
      <c r="S648" s="9">
        <v>1200</v>
      </c>
      <c r="T648" s="10">
        <f t="shared" si="95"/>
        <v>600</v>
      </c>
      <c r="U648" s="9">
        <v>20</v>
      </c>
      <c r="V648" s="10">
        <f t="shared" si="96"/>
        <v>580</v>
      </c>
      <c r="W648" s="4" t="s">
        <v>122</v>
      </c>
      <c r="X648" s="2"/>
      <c r="Y648" s="11">
        <v>6</v>
      </c>
      <c r="Z648" s="12">
        <f t="shared" si="98"/>
        <v>0</v>
      </c>
      <c r="AA648" s="4" t="s">
        <v>212</v>
      </c>
      <c r="AC648" s="176">
        <f t="shared" si="94"/>
        <v>1.8181818181818181E-2</v>
      </c>
      <c r="AD648"/>
    </row>
    <row r="649" spans="2:30">
      <c r="B649" s="183">
        <f t="shared" si="99"/>
        <v>20</v>
      </c>
      <c r="C649" s="107" t="str">
        <f t="shared" si="100"/>
        <v>ATK</v>
      </c>
      <c r="D649" s="2" t="s">
        <v>865</v>
      </c>
      <c r="E649" s="3">
        <v>43962</v>
      </c>
      <c r="F649" s="3">
        <v>43962</v>
      </c>
      <c r="G649" s="108">
        <f t="shared" si="101"/>
        <v>5</v>
      </c>
      <c r="H649" s="108" t="str">
        <f t="shared" si="102"/>
        <v>완료</v>
      </c>
      <c r="I649" s="112" t="s">
        <v>218</v>
      </c>
      <c r="J649" s="4" t="s">
        <v>115</v>
      </c>
      <c r="K649" s="5" t="s">
        <v>138</v>
      </c>
      <c r="L649" s="6" t="str">
        <f t="shared" si="97"/>
        <v>EE1</v>
      </c>
      <c r="M649" s="13" t="s">
        <v>305</v>
      </c>
      <c r="N649" s="7"/>
      <c r="O649" s="13" t="s">
        <v>1800</v>
      </c>
      <c r="P649" s="115"/>
      <c r="Q649" s="8"/>
      <c r="R649" s="2">
        <v>2</v>
      </c>
      <c r="S649" s="9">
        <v>2500</v>
      </c>
      <c r="T649" s="10">
        <f t="shared" si="95"/>
        <v>2500</v>
      </c>
      <c r="U649" s="9"/>
      <c r="V649" s="10">
        <f t="shared" si="96"/>
        <v>2500</v>
      </c>
      <c r="W649" s="4" t="s">
        <v>122</v>
      </c>
      <c r="X649" s="2"/>
      <c r="Y649" s="11">
        <v>3</v>
      </c>
      <c r="Z649" s="12">
        <f t="shared" si="98"/>
        <v>0</v>
      </c>
      <c r="AA649" s="4" t="s">
        <v>259</v>
      </c>
      <c r="AC649" s="176">
        <f t="shared" si="94"/>
        <v>0</v>
      </c>
      <c r="AD649"/>
    </row>
    <row r="650" spans="2:30">
      <c r="B650" s="183">
        <f t="shared" si="99"/>
        <v>20</v>
      </c>
      <c r="C650" s="107" t="str">
        <f t="shared" si="100"/>
        <v>ATK</v>
      </c>
      <c r="D650" s="2" t="s">
        <v>1801</v>
      </c>
      <c r="E650" s="3">
        <v>43959</v>
      </c>
      <c r="F650" s="3">
        <v>43963</v>
      </c>
      <c r="G650" s="108">
        <f t="shared" si="101"/>
        <v>5</v>
      </c>
      <c r="H650" s="108" t="str">
        <f t="shared" si="102"/>
        <v>완료</v>
      </c>
      <c r="I650" s="112" t="s">
        <v>218</v>
      </c>
      <c r="J650" s="4" t="s">
        <v>118</v>
      </c>
      <c r="K650" s="5" t="s">
        <v>134</v>
      </c>
      <c r="L650" s="6" t="str">
        <f t="shared" si="97"/>
        <v>2T1</v>
      </c>
      <c r="M650" s="13" t="s">
        <v>147</v>
      </c>
      <c r="N650" s="13" t="s">
        <v>3560</v>
      </c>
      <c r="O650" s="7" t="s">
        <v>147</v>
      </c>
      <c r="P650" s="115" t="s">
        <v>1802</v>
      </c>
      <c r="Q650" s="8"/>
      <c r="R650" s="2">
        <v>2</v>
      </c>
      <c r="S650" s="9">
        <v>910</v>
      </c>
      <c r="T650" s="10">
        <f t="shared" si="95"/>
        <v>910</v>
      </c>
      <c r="U650" s="9">
        <v>100</v>
      </c>
      <c r="V650" s="10">
        <f t="shared" si="96"/>
        <v>810</v>
      </c>
      <c r="W650" s="4" t="s">
        <v>122</v>
      </c>
      <c r="X650" s="2"/>
      <c r="Y650" s="11">
        <v>4</v>
      </c>
      <c r="Z650" s="12">
        <f t="shared" si="98"/>
        <v>4</v>
      </c>
      <c r="AA650" s="4" t="s">
        <v>1803</v>
      </c>
      <c r="AC650" s="176">
        <f t="shared" si="94"/>
        <v>9.0909090909090912E-2</v>
      </c>
      <c r="AD650"/>
    </row>
    <row r="651" spans="2:30">
      <c r="B651" s="183">
        <f t="shared" si="99"/>
        <v>20</v>
      </c>
      <c r="C651" s="107" t="str">
        <f t="shared" si="100"/>
        <v>ATK</v>
      </c>
      <c r="D651" s="2" t="s">
        <v>295</v>
      </c>
      <c r="E651" s="3">
        <v>43962</v>
      </c>
      <c r="F651" s="3">
        <v>43963</v>
      </c>
      <c r="G651" s="108">
        <f t="shared" si="101"/>
        <v>5</v>
      </c>
      <c r="H651" s="108" t="str">
        <f t="shared" si="102"/>
        <v>완료</v>
      </c>
      <c r="I651" s="112" t="s">
        <v>218</v>
      </c>
      <c r="J651" s="4" t="s">
        <v>132</v>
      </c>
      <c r="K651" s="5" t="s">
        <v>133</v>
      </c>
      <c r="L651" s="6" t="str">
        <f t="shared" si="97"/>
        <v>3T3</v>
      </c>
      <c r="M651" s="13" t="s">
        <v>1740</v>
      </c>
      <c r="N651" s="7" t="s">
        <v>3746</v>
      </c>
      <c r="O651" s="13" t="s">
        <v>543</v>
      </c>
      <c r="P651" s="115" t="s">
        <v>1804</v>
      </c>
      <c r="Q651" s="8" t="s">
        <v>1805</v>
      </c>
      <c r="R651" s="2">
        <v>1</v>
      </c>
      <c r="S651" s="9">
        <v>1200</v>
      </c>
      <c r="T651" s="10">
        <f t="shared" si="95"/>
        <v>600</v>
      </c>
      <c r="U651" s="9">
        <v>2</v>
      </c>
      <c r="V651" s="10">
        <f t="shared" si="96"/>
        <v>598</v>
      </c>
      <c r="W651" s="4" t="s">
        <v>122</v>
      </c>
      <c r="X651" s="2"/>
      <c r="Y651" s="11">
        <v>6</v>
      </c>
      <c r="Z651" s="12">
        <f t="shared" si="98"/>
        <v>1</v>
      </c>
      <c r="AA651" s="4" t="s">
        <v>120</v>
      </c>
      <c r="AC651" s="176">
        <f t="shared" si="94"/>
        <v>1.8181818181818182E-3</v>
      </c>
      <c r="AD651"/>
    </row>
    <row r="652" spans="2:30">
      <c r="B652" s="183">
        <f t="shared" si="99"/>
        <v>20</v>
      </c>
      <c r="C652" s="107" t="str">
        <f t="shared" si="100"/>
        <v>ATK</v>
      </c>
      <c r="D652" s="2" t="s">
        <v>846</v>
      </c>
      <c r="E652" s="3">
        <v>43963</v>
      </c>
      <c r="F652" s="3">
        <v>43963</v>
      </c>
      <c r="G652" s="108">
        <f t="shared" si="101"/>
        <v>5</v>
      </c>
      <c r="H652" s="108" t="str">
        <f t="shared" si="102"/>
        <v>완료</v>
      </c>
      <c r="I652" s="112" t="s">
        <v>218</v>
      </c>
      <c r="J652" s="4" t="s">
        <v>127</v>
      </c>
      <c r="K652" s="5" t="s">
        <v>128</v>
      </c>
      <c r="L652" s="6" t="str">
        <f t="shared" si="97"/>
        <v>1T1</v>
      </c>
      <c r="M652" s="13" t="s">
        <v>1806</v>
      </c>
      <c r="N652" s="7" t="s">
        <v>3687</v>
      </c>
      <c r="O652" s="13" t="s">
        <v>225</v>
      </c>
      <c r="P652" s="115"/>
      <c r="Q652" s="8"/>
      <c r="R652" s="2">
        <v>1</v>
      </c>
      <c r="S652" s="9">
        <v>5000</v>
      </c>
      <c r="T652" s="10">
        <f t="shared" si="95"/>
        <v>2500</v>
      </c>
      <c r="U652" s="9">
        <v>200</v>
      </c>
      <c r="V652" s="10">
        <f t="shared" si="96"/>
        <v>2300</v>
      </c>
      <c r="W652" s="4" t="s">
        <v>122</v>
      </c>
      <c r="X652" s="2"/>
      <c r="Y652" s="11">
        <v>3</v>
      </c>
      <c r="Z652" s="12">
        <f t="shared" si="98"/>
        <v>0</v>
      </c>
      <c r="AA652" s="4" t="s">
        <v>117</v>
      </c>
      <c r="AC652" s="176">
        <f t="shared" si="94"/>
        <v>0.18181818181818182</v>
      </c>
      <c r="AD652"/>
    </row>
    <row r="653" spans="2:30">
      <c r="B653" s="183">
        <f t="shared" si="99"/>
        <v>20</v>
      </c>
      <c r="C653" s="107" t="str">
        <f t="shared" si="100"/>
        <v>ATK</v>
      </c>
      <c r="D653" s="2" t="s">
        <v>1807</v>
      </c>
      <c r="E653" s="3">
        <v>43963</v>
      </c>
      <c r="F653" s="3">
        <v>43963</v>
      </c>
      <c r="G653" s="108">
        <f t="shared" si="101"/>
        <v>5</v>
      </c>
      <c r="H653" s="108" t="str">
        <f t="shared" si="102"/>
        <v>완료</v>
      </c>
      <c r="I653" s="112" t="s">
        <v>218</v>
      </c>
      <c r="J653" s="4" t="s">
        <v>118</v>
      </c>
      <c r="K653" s="5" t="s">
        <v>119</v>
      </c>
      <c r="L653" s="6" t="str">
        <f t="shared" si="97"/>
        <v>2T3</v>
      </c>
      <c r="M653" s="13" t="s">
        <v>730</v>
      </c>
      <c r="N653" s="7" t="s">
        <v>3491</v>
      </c>
      <c r="O653" s="13" t="s">
        <v>1440</v>
      </c>
      <c r="P653" s="115"/>
      <c r="Q653" s="8"/>
      <c r="R653" s="2">
        <v>1</v>
      </c>
      <c r="S653" s="9">
        <v>3500</v>
      </c>
      <c r="T653" s="10">
        <f t="shared" si="95"/>
        <v>1750</v>
      </c>
      <c r="U653" s="9">
        <v>1</v>
      </c>
      <c r="V653" s="10">
        <f t="shared" si="96"/>
        <v>1749</v>
      </c>
      <c r="W653" s="4" t="s">
        <v>122</v>
      </c>
      <c r="X653" s="2"/>
      <c r="Y653" s="11">
        <v>1</v>
      </c>
      <c r="Z653" s="12">
        <f t="shared" si="98"/>
        <v>0</v>
      </c>
      <c r="AA653" s="4" t="s">
        <v>117</v>
      </c>
      <c r="AC653" s="176">
        <f t="shared" si="94"/>
        <v>9.0909090909090909E-4</v>
      </c>
      <c r="AD653"/>
    </row>
    <row r="654" spans="2:30">
      <c r="B654" s="183">
        <f t="shared" si="99"/>
        <v>20</v>
      </c>
      <c r="C654" s="107" t="str">
        <f t="shared" si="100"/>
        <v>ATK</v>
      </c>
      <c r="D654" s="2" t="s">
        <v>472</v>
      </c>
      <c r="E654" s="3">
        <v>43941</v>
      </c>
      <c r="F654" s="3">
        <v>43963</v>
      </c>
      <c r="G654" s="108">
        <f t="shared" si="101"/>
        <v>5</v>
      </c>
      <c r="H654" s="108" t="str">
        <f t="shared" si="102"/>
        <v>완료</v>
      </c>
      <c r="I654" s="112" t="s">
        <v>218</v>
      </c>
      <c r="J654" s="4" t="s">
        <v>121</v>
      </c>
      <c r="K654" s="5" t="s">
        <v>229</v>
      </c>
      <c r="L654" s="6" t="str">
        <f t="shared" si="97"/>
        <v>5T2</v>
      </c>
      <c r="M654" s="13" t="s">
        <v>207</v>
      </c>
      <c r="N654" s="7" t="s">
        <v>3755</v>
      </c>
      <c r="O654" s="13" t="s">
        <v>207</v>
      </c>
      <c r="P654" s="115" t="s">
        <v>1808</v>
      </c>
      <c r="Q654" s="8"/>
      <c r="R654" s="2">
        <v>1</v>
      </c>
      <c r="S654" s="9">
        <v>600</v>
      </c>
      <c r="T654" s="10">
        <f t="shared" si="95"/>
        <v>300</v>
      </c>
      <c r="U654" s="9">
        <v>30</v>
      </c>
      <c r="V654" s="10">
        <f t="shared" si="96"/>
        <v>270</v>
      </c>
      <c r="W654" s="4" t="s">
        <v>249</v>
      </c>
      <c r="X654" s="2"/>
      <c r="Y654" s="11">
        <v>2</v>
      </c>
      <c r="Z654" s="12">
        <f t="shared" si="98"/>
        <v>22</v>
      </c>
      <c r="AA654" s="4" t="s">
        <v>174</v>
      </c>
      <c r="AC654" s="176">
        <f t="shared" si="94"/>
        <v>2.7272727272727271E-2</v>
      </c>
      <c r="AD654"/>
    </row>
    <row r="655" spans="2:30">
      <c r="B655" s="183">
        <f t="shared" si="99"/>
        <v>20</v>
      </c>
      <c r="C655" s="107" t="str">
        <f t="shared" si="100"/>
        <v>ATK</v>
      </c>
      <c r="D655" s="2" t="s">
        <v>1809</v>
      </c>
      <c r="E655" s="3">
        <v>43963</v>
      </c>
      <c r="F655" s="3">
        <v>43963</v>
      </c>
      <c r="G655" s="108">
        <f t="shared" si="101"/>
        <v>5</v>
      </c>
      <c r="H655" s="108" t="str">
        <f t="shared" si="102"/>
        <v>완료</v>
      </c>
      <c r="I655" s="112" t="s">
        <v>218</v>
      </c>
      <c r="J655" s="4" t="s">
        <v>121</v>
      </c>
      <c r="K655" s="5" t="s">
        <v>229</v>
      </c>
      <c r="L655" s="6" t="str">
        <f t="shared" si="97"/>
        <v>5T2</v>
      </c>
      <c r="M655" s="13"/>
      <c r="N655" s="7" t="s">
        <v>3756</v>
      </c>
      <c r="O655" s="13" t="s">
        <v>1810</v>
      </c>
      <c r="P655" s="115"/>
      <c r="Q655" s="8"/>
      <c r="R655" s="2">
        <v>1</v>
      </c>
      <c r="S655" s="9">
        <v>7000</v>
      </c>
      <c r="T655" s="10">
        <f t="shared" si="95"/>
        <v>3500</v>
      </c>
      <c r="U655" s="9">
        <v>60</v>
      </c>
      <c r="V655" s="10">
        <f t="shared" si="96"/>
        <v>3440</v>
      </c>
      <c r="W655" s="4" t="s">
        <v>122</v>
      </c>
      <c r="X655" s="2"/>
      <c r="Y655" s="11">
        <v>2</v>
      </c>
      <c r="Z655" s="12">
        <f t="shared" si="98"/>
        <v>0</v>
      </c>
      <c r="AA655" s="4" t="s">
        <v>117</v>
      </c>
      <c r="AC655" s="176">
        <f t="shared" si="94"/>
        <v>5.4545454545454543E-2</v>
      </c>
      <c r="AD655"/>
    </row>
    <row r="656" spans="2:30">
      <c r="B656" s="183">
        <f t="shared" si="99"/>
        <v>20</v>
      </c>
      <c r="C656" s="107" t="str">
        <f t="shared" si="100"/>
        <v>ATK</v>
      </c>
      <c r="D656" s="2" t="s">
        <v>620</v>
      </c>
      <c r="E656" s="3">
        <v>43962</v>
      </c>
      <c r="F656" s="3">
        <v>43963</v>
      </c>
      <c r="G656" s="108">
        <f t="shared" si="101"/>
        <v>5</v>
      </c>
      <c r="H656" s="108" t="str">
        <f t="shared" si="102"/>
        <v>완료</v>
      </c>
      <c r="I656" s="112" t="s">
        <v>218</v>
      </c>
      <c r="J656" s="4" t="s">
        <v>118</v>
      </c>
      <c r="K656" s="5" t="s">
        <v>119</v>
      </c>
      <c r="L656" s="6" t="str">
        <f t="shared" si="97"/>
        <v>2T3</v>
      </c>
      <c r="M656" s="13" t="s">
        <v>1273</v>
      </c>
      <c r="N656" s="7" t="s">
        <v>3757</v>
      </c>
      <c r="O656" s="13" t="s">
        <v>543</v>
      </c>
      <c r="P656" s="115" t="s">
        <v>1811</v>
      </c>
      <c r="Q656" s="8" t="s">
        <v>1812</v>
      </c>
      <c r="R656" s="2">
        <v>1</v>
      </c>
      <c r="S656" s="9">
        <v>2000</v>
      </c>
      <c r="T656" s="10">
        <f t="shared" si="95"/>
        <v>1000</v>
      </c>
      <c r="U656" s="9">
        <v>4</v>
      </c>
      <c r="V656" s="10">
        <f t="shared" si="96"/>
        <v>996</v>
      </c>
      <c r="W656" s="4" t="s">
        <v>122</v>
      </c>
      <c r="X656" s="2"/>
      <c r="Y656" s="11">
        <v>4</v>
      </c>
      <c r="Z656" s="12">
        <f t="shared" si="98"/>
        <v>1</v>
      </c>
      <c r="AA656" s="4" t="s">
        <v>120</v>
      </c>
      <c r="AC656" s="176">
        <f t="shared" si="94"/>
        <v>3.6363636363636364E-3</v>
      </c>
      <c r="AD656"/>
    </row>
    <row r="657" spans="2:30">
      <c r="B657" s="183">
        <f t="shared" si="99"/>
        <v>20</v>
      </c>
      <c r="C657" s="107" t="str">
        <f t="shared" si="100"/>
        <v>ATK</v>
      </c>
      <c r="D657" s="2" t="s">
        <v>1813</v>
      </c>
      <c r="E657" s="3">
        <v>43963</v>
      </c>
      <c r="F657" s="3">
        <v>43964</v>
      </c>
      <c r="G657" s="108">
        <f t="shared" si="101"/>
        <v>5</v>
      </c>
      <c r="H657" s="108" t="str">
        <f t="shared" si="102"/>
        <v>완료</v>
      </c>
      <c r="I657" s="112" t="s">
        <v>218</v>
      </c>
      <c r="J657" s="4" t="s">
        <v>132</v>
      </c>
      <c r="K657" s="5" t="s">
        <v>322</v>
      </c>
      <c r="L657" s="6" t="str">
        <f t="shared" si="97"/>
        <v>3T1</v>
      </c>
      <c r="M657" s="13" t="s">
        <v>1814</v>
      </c>
      <c r="N657" s="7" t="s">
        <v>3478</v>
      </c>
      <c r="O657" s="13" t="s">
        <v>1654</v>
      </c>
      <c r="P657" s="115"/>
      <c r="Q657" s="8"/>
      <c r="R657" s="2">
        <v>1</v>
      </c>
      <c r="S657" s="9">
        <v>10000</v>
      </c>
      <c r="T657" s="10">
        <f t="shared" si="95"/>
        <v>5000</v>
      </c>
      <c r="U657" s="9">
        <v>1</v>
      </c>
      <c r="V657" s="10">
        <f t="shared" si="96"/>
        <v>4999</v>
      </c>
      <c r="W657" s="4" t="s">
        <v>122</v>
      </c>
      <c r="X657" s="2"/>
      <c r="Y657" s="11">
        <v>4</v>
      </c>
      <c r="Z657" s="12">
        <f t="shared" si="98"/>
        <v>1</v>
      </c>
      <c r="AA657" s="4" t="s">
        <v>117</v>
      </c>
      <c r="AC657" s="176">
        <f t="shared" si="94"/>
        <v>9.0909090909090909E-4</v>
      </c>
      <c r="AD657"/>
    </row>
    <row r="658" spans="2:30">
      <c r="B658" s="183">
        <f t="shared" si="99"/>
        <v>20</v>
      </c>
      <c r="C658" s="107" t="str">
        <f t="shared" si="100"/>
        <v>ATK</v>
      </c>
      <c r="D658" s="2" t="s">
        <v>1815</v>
      </c>
      <c r="E658" s="3">
        <v>43962</v>
      </c>
      <c r="F658" s="3">
        <v>43964</v>
      </c>
      <c r="G658" s="108">
        <f t="shared" si="101"/>
        <v>5</v>
      </c>
      <c r="H658" s="108" t="str">
        <f t="shared" si="102"/>
        <v>Other</v>
      </c>
      <c r="I658" s="112" t="s">
        <v>251</v>
      </c>
      <c r="J658" s="4" t="s">
        <v>281</v>
      </c>
      <c r="K658" s="5" t="s">
        <v>282</v>
      </c>
      <c r="L658" s="6" t="str">
        <f t="shared" si="97"/>
        <v>EE1</v>
      </c>
      <c r="M658" s="13" t="s">
        <v>1816</v>
      </c>
      <c r="N658" s="7" t="s">
        <v>140</v>
      </c>
      <c r="O658" s="13" t="s">
        <v>1818</v>
      </c>
      <c r="P658" s="115" t="s">
        <v>1817</v>
      </c>
      <c r="Q658" s="8"/>
      <c r="R658" s="2">
        <v>1</v>
      </c>
      <c r="S658" s="9">
        <v>0</v>
      </c>
      <c r="T658" s="10">
        <f t="shared" si="95"/>
        <v>0</v>
      </c>
      <c r="U658" s="9">
        <v>0</v>
      </c>
      <c r="V658" s="10">
        <f t="shared" si="96"/>
        <v>0</v>
      </c>
      <c r="W658" s="4" t="s">
        <v>122</v>
      </c>
      <c r="X658" s="2"/>
      <c r="Y658" s="11">
        <v>4</v>
      </c>
      <c r="Z658" s="12">
        <f t="shared" si="98"/>
        <v>2</v>
      </c>
      <c r="AA658" s="4" t="s">
        <v>27</v>
      </c>
      <c r="AC658" s="176">
        <f t="shared" si="94"/>
        <v>0</v>
      </c>
      <c r="AD658"/>
    </row>
    <row r="659" spans="2:30">
      <c r="B659" s="183">
        <f t="shared" si="99"/>
        <v>20</v>
      </c>
      <c r="C659" s="107" t="str">
        <f t="shared" si="100"/>
        <v>ATK</v>
      </c>
      <c r="D659" s="2" t="s">
        <v>1815</v>
      </c>
      <c r="E659" s="3">
        <v>43962</v>
      </c>
      <c r="F659" s="3">
        <v>43964</v>
      </c>
      <c r="G659" s="108">
        <f t="shared" si="101"/>
        <v>5</v>
      </c>
      <c r="H659" s="108" t="str">
        <f t="shared" si="102"/>
        <v>Other</v>
      </c>
      <c r="I659" s="112" t="s">
        <v>251</v>
      </c>
      <c r="J659" s="4" t="s">
        <v>281</v>
      </c>
      <c r="K659" s="5" t="s">
        <v>282</v>
      </c>
      <c r="L659" s="6" t="str">
        <f t="shared" si="97"/>
        <v>EE1</v>
      </c>
      <c r="M659" s="13" t="s">
        <v>1816</v>
      </c>
      <c r="N659" s="7" t="s">
        <v>140</v>
      </c>
      <c r="O659" s="13" t="s">
        <v>1819</v>
      </c>
      <c r="P659" s="115" t="s">
        <v>1817</v>
      </c>
      <c r="Q659" s="8"/>
      <c r="R659" s="2">
        <v>1</v>
      </c>
      <c r="S659" s="9">
        <v>0</v>
      </c>
      <c r="T659" s="10">
        <f t="shared" si="95"/>
        <v>0</v>
      </c>
      <c r="U659" s="9">
        <v>0</v>
      </c>
      <c r="V659" s="10">
        <f t="shared" si="96"/>
        <v>0</v>
      </c>
      <c r="W659" s="4" t="s">
        <v>122</v>
      </c>
      <c r="X659" s="2"/>
      <c r="Y659" s="11">
        <v>6</v>
      </c>
      <c r="Z659" s="12">
        <f t="shared" si="98"/>
        <v>2</v>
      </c>
      <c r="AA659" s="4" t="s">
        <v>174</v>
      </c>
      <c r="AC659" s="176">
        <f t="shared" si="94"/>
        <v>0</v>
      </c>
      <c r="AD659"/>
    </row>
    <row r="660" spans="2:30">
      <c r="B660" s="183">
        <f t="shared" si="99"/>
        <v>20</v>
      </c>
      <c r="C660" s="107" t="str">
        <f t="shared" si="100"/>
        <v>ATK</v>
      </c>
      <c r="D660" s="2" t="s">
        <v>620</v>
      </c>
      <c r="E660" s="3">
        <v>43962</v>
      </c>
      <c r="F660" s="3">
        <v>43962</v>
      </c>
      <c r="G660" s="108">
        <f t="shared" si="101"/>
        <v>5</v>
      </c>
      <c r="H660" s="108" t="str">
        <f t="shared" si="102"/>
        <v>완료</v>
      </c>
      <c r="I660" s="112" t="s">
        <v>218</v>
      </c>
      <c r="J660" s="4" t="s">
        <v>118</v>
      </c>
      <c r="K660" s="5" t="s">
        <v>119</v>
      </c>
      <c r="L660" s="6" t="str">
        <f t="shared" si="97"/>
        <v>2T3</v>
      </c>
      <c r="M660" s="13" t="s">
        <v>1820</v>
      </c>
      <c r="N660" s="7" t="s">
        <v>3758</v>
      </c>
      <c r="O660" s="13" t="s">
        <v>225</v>
      </c>
      <c r="P660" s="115"/>
      <c r="Q660" s="8"/>
      <c r="R660" s="2">
        <v>1</v>
      </c>
      <c r="S660" s="9">
        <v>3000</v>
      </c>
      <c r="T660" s="10">
        <f t="shared" si="95"/>
        <v>1500</v>
      </c>
      <c r="U660" s="9">
        <v>100</v>
      </c>
      <c r="V660" s="10">
        <f t="shared" si="96"/>
        <v>1400</v>
      </c>
      <c r="W660" s="4" t="s">
        <v>122</v>
      </c>
      <c r="X660" s="2"/>
      <c r="Y660" s="11">
        <v>6</v>
      </c>
      <c r="Z660" s="12">
        <f t="shared" si="98"/>
        <v>0</v>
      </c>
      <c r="AA660" s="4" t="s">
        <v>27</v>
      </c>
      <c r="AC660" s="176">
        <f t="shared" si="94"/>
        <v>9.0909090909090912E-2</v>
      </c>
      <c r="AD660"/>
    </row>
    <row r="661" spans="2:30">
      <c r="B661" s="183">
        <f t="shared" si="99"/>
        <v>27</v>
      </c>
      <c r="C661" s="107" t="str">
        <f t="shared" si="100"/>
        <v>ATK</v>
      </c>
      <c r="D661" s="2" t="s">
        <v>312</v>
      </c>
      <c r="E661" s="3">
        <v>43964</v>
      </c>
      <c r="F661" s="3">
        <v>44011</v>
      </c>
      <c r="G661" s="108">
        <f t="shared" si="101"/>
        <v>6</v>
      </c>
      <c r="H661" s="108" t="str">
        <f t="shared" si="102"/>
        <v>완료</v>
      </c>
      <c r="I661" s="112" t="s">
        <v>514</v>
      </c>
      <c r="J661" s="4" t="s">
        <v>481</v>
      </c>
      <c r="K661" s="5" t="s">
        <v>695</v>
      </c>
      <c r="L661" s="6" t="str">
        <f t="shared" si="97"/>
        <v>2T2</v>
      </c>
      <c r="M661" s="13" t="s">
        <v>256</v>
      </c>
      <c r="N661" s="7" t="s">
        <v>3594</v>
      </c>
      <c r="O661" s="13" t="s">
        <v>333</v>
      </c>
      <c r="P661" s="115"/>
      <c r="Q661" s="8"/>
      <c r="R661" s="2">
        <v>1</v>
      </c>
      <c r="S661" s="9">
        <v>3500</v>
      </c>
      <c r="T661" s="10">
        <f t="shared" si="95"/>
        <v>1750</v>
      </c>
      <c r="U661" s="9">
        <v>0</v>
      </c>
      <c r="V661" s="10">
        <f t="shared" si="96"/>
        <v>1750</v>
      </c>
      <c r="W661" s="4" t="s">
        <v>2044</v>
      </c>
      <c r="X661" s="2" t="s">
        <v>2045</v>
      </c>
      <c r="Y661" s="11">
        <v>6</v>
      </c>
      <c r="Z661" s="12">
        <f t="shared" si="98"/>
        <v>47</v>
      </c>
      <c r="AA661" s="4" t="s">
        <v>27</v>
      </c>
      <c r="AC661" s="176">
        <f t="shared" si="94"/>
        <v>0</v>
      </c>
      <c r="AD661"/>
    </row>
    <row r="662" spans="2:30">
      <c r="B662" s="183">
        <f t="shared" si="99"/>
        <v>20</v>
      </c>
      <c r="C662" s="107" t="str">
        <f t="shared" si="100"/>
        <v>ATK</v>
      </c>
      <c r="D662" s="2" t="s">
        <v>321</v>
      </c>
      <c r="E662" s="3">
        <v>43949</v>
      </c>
      <c r="F662" s="3">
        <v>43964</v>
      </c>
      <c r="G662" s="108">
        <f t="shared" si="101"/>
        <v>5</v>
      </c>
      <c r="H662" s="108" t="str">
        <f t="shared" si="102"/>
        <v>완료</v>
      </c>
      <c r="I662" s="112" t="s">
        <v>218</v>
      </c>
      <c r="J662" s="4" t="s">
        <v>132</v>
      </c>
      <c r="K662" s="5" t="s">
        <v>322</v>
      </c>
      <c r="L662" s="6" t="str">
        <f t="shared" si="97"/>
        <v>3T1</v>
      </c>
      <c r="M662" s="13" t="s">
        <v>955</v>
      </c>
      <c r="N662" s="7" t="s">
        <v>3759</v>
      </c>
      <c r="O662" s="13" t="s">
        <v>1821</v>
      </c>
      <c r="P662" s="115" t="s">
        <v>1822</v>
      </c>
      <c r="Q662" s="8" t="s">
        <v>1823</v>
      </c>
      <c r="R662" s="2">
        <v>1</v>
      </c>
      <c r="S662" s="9">
        <v>4000</v>
      </c>
      <c r="T662" s="10">
        <f t="shared" si="95"/>
        <v>2000</v>
      </c>
      <c r="U662" s="9">
        <v>1</v>
      </c>
      <c r="V662" s="10">
        <f t="shared" si="96"/>
        <v>1999</v>
      </c>
      <c r="W662" s="4" t="s">
        <v>122</v>
      </c>
      <c r="X662" s="2"/>
      <c r="Y662" s="11">
        <v>4</v>
      </c>
      <c r="Z662" s="12">
        <f t="shared" si="98"/>
        <v>15</v>
      </c>
      <c r="AA662" s="4" t="s">
        <v>120</v>
      </c>
      <c r="AC662" s="176">
        <f t="shared" si="94"/>
        <v>9.0909090909090909E-4</v>
      </c>
      <c r="AD662"/>
    </row>
    <row r="663" spans="2:30">
      <c r="B663" s="183">
        <f t="shared" si="99"/>
        <v>25</v>
      </c>
      <c r="C663" s="107" t="str">
        <f t="shared" si="100"/>
        <v>ATK</v>
      </c>
      <c r="D663" s="2" t="s">
        <v>321</v>
      </c>
      <c r="E663" s="3">
        <v>43949</v>
      </c>
      <c r="F663" s="3">
        <v>44000</v>
      </c>
      <c r="G663" s="108">
        <f t="shared" si="101"/>
        <v>6</v>
      </c>
      <c r="H663" s="108" t="str">
        <f t="shared" si="102"/>
        <v>완료</v>
      </c>
      <c r="I663" s="112" t="s">
        <v>218</v>
      </c>
      <c r="J663" s="4" t="s">
        <v>132</v>
      </c>
      <c r="K663" s="5" t="s">
        <v>322</v>
      </c>
      <c r="L663" s="6" t="str">
        <f t="shared" si="97"/>
        <v>3T1</v>
      </c>
      <c r="M663" s="13" t="s">
        <v>955</v>
      </c>
      <c r="N663" s="7" t="s">
        <v>3759</v>
      </c>
      <c r="O663" s="13" t="s">
        <v>1821</v>
      </c>
      <c r="P663" s="115"/>
      <c r="Q663" s="8" t="s">
        <v>1824</v>
      </c>
      <c r="R663" s="2">
        <v>1</v>
      </c>
      <c r="S663" s="9">
        <v>4000</v>
      </c>
      <c r="T663" s="10">
        <f t="shared" si="95"/>
        <v>2000</v>
      </c>
      <c r="U663" s="9">
        <v>20</v>
      </c>
      <c r="V663" s="10">
        <f t="shared" si="96"/>
        <v>1980</v>
      </c>
      <c r="W663" s="4" t="s">
        <v>122</v>
      </c>
      <c r="X663" s="2"/>
      <c r="Y663" s="11">
        <v>4</v>
      </c>
      <c r="Z663" s="12">
        <f t="shared" si="98"/>
        <v>51</v>
      </c>
      <c r="AA663" s="4" t="s">
        <v>120</v>
      </c>
      <c r="AC663" s="176">
        <f t="shared" si="94"/>
        <v>1.8181818181818181E-2</v>
      </c>
      <c r="AD663"/>
    </row>
    <row r="664" spans="2:30">
      <c r="B664" s="183">
        <f t="shared" si="99"/>
        <v>20</v>
      </c>
      <c r="C664" s="107" t="str">
        <f t="shared" si="100"/>
        <v>ATK</v>
      </c>
      <c r="D664" s="2" t="s">
        <v>1825</v>
      </c>
      <c r="E664" s="3">
        <v>43963</v>
      </c>
      <c r="F664" s="3">
        <v>43964</v>
      </c>
      <c r="G664" s="108">
        <f t="shared" si="101"/>
        <v>5</v>
      </c>
      <c r="H664" s="108" t="str">
        <f t="shared" si="102"/>
        <v>완료</v>
      </c>
      <c r="I664" s="112" t="s">
        <v>218</v>
      </c>
      <c r="J664" s="4" t="s">
        <v>132</v>
      </c>
      <c r="K664" s="5" t="s">
        <v>133</v>
      </c>
      <c r="L664" s="6" t="str">
        <f t="shared" si="97"/>
        <v>3T3</v>
      </c>
      <c r="M664" s="13" t="s">
        <v>270</v>
      </c>
      <c r="N664" s="7" t="s">
        <v>3598</v>
      </c>
      <c r="O664" s="13" t="s">
        <v>270</v>
      </c>
      <c r="P664" s="115" t="s">
        <v>271</v>
      </c>
      <c r="Q664" s="8" t="s">
        <v>1826</v>
      </c>
      <c r="R664" s="2">
        <v>1</v>
      </c>
      <c r="S664" s="9">
        <v>1500</v>
      </c>
      <c r="T664" s="10">
        <f t="shared" si="95"/>
        <v>750</v>
      </c>
      <c r="U664" s="9">
        <v>0</v>
      </c>
      <c r="V664" s="10">
        <f t="shared" si="96"/>
        <v>750</v>
      </c>
      <c r="W664" s="4" t="s">
        <v>122</v>
      </c>
      <c r="X664" s="2"/>
      <c r="Y664" s="11">
        <v>1</v>
      </c>
      <c r="Z664" s="12">
        <f t="shared" si="98"/>
        <v>1</v>
      </c>
      <c r="AA664" s="4" t="s">
        <v>174</v>
      </c>
      <c r="AC664" s="176">
        <f t="shared" si="94"/>
        <v>0</v>
      </c>
      <c r="AD664"/>
    </row>
    <row r="665" spans="2:30">
      <c r="B665" s="183">
        <f t="shared" si="99"/>
        <v>20</v>
      </c>
      <c r="C665" s="107" t="str">
        <f t="shared" si="100"/>
        <v>ATK</v>
      </c>
      <c r="D665" s="2" t="s">
        <v>255</v>
      </c>
      <c r="E665" s="3">
        <v>43965</v>
      </c>
      <c r="F665" s="3">
        <v>43965</v>
      </c>
      <c r="G665" s="108">
        <f t="shared" si="101"/>
        <v>5</v>
      </c>
      <c r="H665" s="108" t="str">
        <f t="shared" si="102"/>
        <v>완료</v>
      </c>
      <c r="I665" s="112" t="s">
        <v>218</v>
      </c>
      <c r="J665" s="4" t="s">
        <v>127</v>
      </c>
      <c r="K665" s="5" t="s">
        <v>135</v>
      </c>
      <c r="L665" s="6" t="str">
        <f t="shared" si="97"/>
        <v>1T3</v>
      </c>
      <c r="M665" s="13" t="s">
        <v>256</v>
      </c>
      <c r="N665" s="7" t="s">
        <v>3529</v>
      </c>
      <c r="O665" s="13" t="s">
        <v>1402</v>
      </c>
      <c r="P665" s="115" t="s">
        <v>330</v>
      </c>
      <c r="Q665" s="8"/>
      <c r="R665" s="2">
        <v>1</v>
      </c>
      <c r="S665" s="9">
        <v>3500</v>
      </c>
      <c r="T665" s="10">
        <f t="shared" si="95"/>
        <v>1750</v>
      </c>
      <c r="U665" s="9">
        <v>0</v>
      </c>
      <c r="V665" s="10">
        <f t="shared" si="96"/>
        <v>1750</v>
      </c>
      <c r="W665" s="4" t="s">
        <v>249</v>
      </c>
      <c r="X665" s="2"/>
      <c r="Y665" s="11">
        <v>2</v>
      </c>
      <c r="Z665" s="12">
        <f t="shared" si="98"/>
        <v>0</v>
      </c>
      <c r="AA665" s="4" t="s">
        <v>27</v>
      </c>
      <c r="AC665" s="176">
        <f t="shared" si="94"/>
        <v>0</v>
      </c>
      <c r="AD665"/>
    </row>
    <row r="666" spans="2:30">
      <c r="B666" s="183">
        <f t="shared" si="99"/>
        <v>20</v>
      </c>
      <c r="C666" s="107" t="str">
        <f t="shared" si="100"/>
        <v>ATK</v>
      </c>
      <c r="D666" s="2" t="s">
        <v>1010</v>
      </c>
      <c r="E666" s="3">
        <v>43965</v>
      </c>
      <c r="F666" s="3">
        <v>43965</v>
      </c>
      <c r="G666" s="108">
        <f t="shared" si="101"/>
        <v>5</v>
      </c>
      <c r="H666" s="108" t="str">
        <f t="shared" si="102"/>
        <v>완료</v>
      </c>
      <c r="I666" s="112" t="s">
        <v>218</v>
      </c>
      <c r="J666" s="4" t="s">
        <v>127</v>
      </c>
      <c r="K666" s="5" t="s">
        <v>131</v>
      </c>
      <c r="L666" s="6" t="str">
        <f t="shared" si="97"/>
        <v>1T4</v>
      </c>
      <c r="M666" s="13" t="s">
        <v>711</v>
      </c>
      <c r="N666" s="7" t="s">
        <v>3760</v>
      </c>
      <c r="O666" s="13" t="s">
        <v>1829</v>
      </c>
      <c r="P666" s="115" t="s">
        <v>1830</v>
      </c>
      <c r="Q666" s="8"/>
      <c r="R666" s="2">
        <v>1</v>
      </c>
      <c r="S666" s="9">
        <v>300</v>
      </c>
      <c r="T666" s="10">
        <f t="shared" si="95"/>
        <v>150</v>
      </c>
      <c r="U666" s="9">
        <v>0</v>
      </c>
      <c r="V666" s="10">
        <f t="shared" si="96"/>
        <v>150</v>
      </c>
      <c r="W666" s="4" t="s">
        <v>122</v>
      </c>
      <c r="X666" s="2"/>
      <c r="Y666" s="11">
        <v>4</v>
      </c>
      <c r="Z666" s="12">
        <f t="shared" si="98"/>
        <v>0</v>
      </c>
      <c r="AA666" s="4" t="s">
        <v>120</v>
      </c>
      <c r="AC666" s="176">
        <f t="shared" si="94"/>
        <v>0</v>
      </c>
      <c r="AD666"/>
    </row>
    <row r="667" spans="2:30">
      <c r="B667" s="183">
        <f t="shared" si="99"/>
        <v>20</v>
      </c>
      <c r="C667" s="107" t="str">
        <f t="shared" si="100"/>
        <v>ATK</v>
      </c>
      <c r="D667" s="2" t="s">
        <v>1831</v>
      </c>
      <c r="E667" s="3">
        <v>43964</v>
      </c>
      <c r="F667" s="3">
        <v>43965</v>
      </c>
      <c r="G667" s="108">
        <f t="shared" si="101"/>
        <v>5</v>
      </c>
      <c r="H667" s="108" t="str">
        <f t="shared" si="102"/>
        <v>완료</v>
      </c>
      <c r="I667" s="112" t="s">
        <v>218</v>
      </c>
      <c r="J667" s="4" t="s">
        <v>173</v>
      </c>
      <c r="K667" s="5" t="s">
        <v>138</v>
      </c>
      <c r="L667" s="6" t="str">
        <f t="shared" si="97"/>
        <v>EE1</v>
      </c>
      <c r="M667" s="13" t="s">
        <v>1246</v>
      </c>
      <c r="N667" s="7" t="s">
        <v>3761</v>
      </c>
      <c r="O667" s="13" t="s">
        <v>1032</v>
      </c>
      <c r="P667" s="115"/>
      <c r="Q667" s="8"/>
      <c r="R667" s="2">
        <v>1</v>
      </c>
      <c r="S667" s="9">
        <v>900</v>
      </c>
      <c r="T667" s="10">
        <f t="shared" si="95"/>
        <v>450</v>
      </c>
      <c r="U667" s="9">
        <v>3</v>
      </c>
      <c r="V667" s="10">
        <f t="shared" si="96"/>
        <v>447</v>
      </c>
      <c r="W667" s="4" t="s">
        <v>122</v>
      </c>
      <c r="X667" s="2"/>
      <c r="Y667" s="11">
        <v>2</v>
      </c>
      <c r="Z667" s="12">
        <f t="shared" si="98"/>
        <v>1</v>
      </c>
      <c r="AA667" s="4" t="s">
        <v>117</v>
      </c>
      <c r="AC667" s="176">
        <f t="shared" si="94"/>
        <v>2.7272727272727275E-3</v>
      </c>
      <c r="AD667"/>
    </row>
    <row r="668" spans="2:30">
      <c r="B668" s="183">
        <f t="shared" si="99"/>
        <v>20</v>
      </c>
      <c r="C668" s="107" t="str">
        <f t="shared" si="100"/>
        <v>ATK</v>
      </c>
      <c r="D668" s="2" t="s">
        <v>1832</v>
      </c>
      <c r="E668" s="3">
        <v>43965</v>
      </c>
      <c r="F668" s="3">
        <v>43965</v>
      </c>
      <c r="G668" s="108">
        <f t="shared" si="101"/>
        <v>5</v>
      </c>
      <c r="H668" s="108" t="str">
        <f t="shared" si="102"/>
        <v>완료</v>
      </c>
      <c r="I668" s="112" t="s">
        <v>218</v>
      </c>
      <c r="J668" s="4" t="s">
        <v>115</v>
      </c>
      <c r="K668" s="5" t="s">
        <v>138</v>
      </c>
      <c r="L668" s="6" t="str">
        <f t="shared" si="97"/>
        <v>EE1</v>
      </c>
      <c r="M668" s="13"/>
      <c r="N668" s="7" t="s">
        <v>3574</v>
      </c>
      <c r="O668" s="13" t="s">
        <v>284</v>
      </c>
      <c r="P668" s="115" t="s">
        <v>1833</v>
      </c>
      <c r="Q668" s="8"/>
      <c r="R668" s="2">
        <v>2</v>
      </c>
      <c r="S668" s="9">
        <v>1200</v>
      </c>
      <c r="T668" s="10">
        <f t="shared" si="95"/>
        <v>1200</v>
      </c>
      <c r="U668" s="9"/>
      <c r="V668" s="10">
        <f t="shared" si="96"/>
        <v>1200</v>
      </c>
      <c r="W668" s="4" t="s">
        <v>122</v>
      </c>
      <c r="X668" s="2"/>
      <c r="Y668" s="11">
        <v>4</v>
      </c>
      <c r="Z668" s="12">
        <f t="shared" si="98"/>
        <v>0</v>
      </c>
      <c r="AA668" s="4" t="s">
        <v>259</v>
      </c>
      <c r="AC668" s="176">
        <f t="shared" si="94"/>
        <v>0</v>
      </c>
      <c r="AD668"/>
    </row>
    <row r="669" spans="2:30">
      <c r="B669" s="183">
        <f t="shared" si="99"/>
        <v>20</v>
      </c>
      <c r="C669" s="107" t="str">
        <f t="shared" si="100"/>
        <v>ATK</v>
      </c>
      <c r="D669" s="2" t="s">
        <v>291</v>
      </c>
      <c r="E669" s="3">
        <v>43965</v>
      </c>
      <c r="F669" s="3">
        <v>43966</v>
      </c>
      <c r="G669" s="108">
        <f t="shared" si="101"/>
        <v>5</v>
      </c>
      <c r="H669" s="108" t="str">
        <f t="shared" si="102"/>
        <v>완료</v>
      </c>
      <c r="I669" s="112" t="s">
        <v>218</v>
      </c>
      <c r="J669" s="4" t="s">
        <v>132</v>
      </c>
      <c r="K669" s="5" t="s">
        <v>793</v>
      </c>
      <c r="L669" s="6" t="str">
        <f t="shared" si="97"/>
        <v>3T3</v>
      </c>
      <c r="M669" s="13" t="s">
        <v>216</v>
      </c>
      <c r="N669" s="7" t="s">
        <v>3762</v>
      </c>
      <c r="O669" s="13" t="s">
        <v>1834</v>
      </c>
      <c r="P669" s="115" t="s">
        <v>1835</v>
      </c>
      <c r="Q669" s="8"/>
      <c r="R669" s="2">
        <v>1</v>
      </c>
      <c r="S669" s="9">
        <v>4500</v>
      </c>
      <c r="T669" s="10">
        <f t="shared" si="95"/>
        <v>2250</v>
      </c>
      <c r="U669" s="9">
        <v>5</v>
      </c>
      <c r="V669" s="10">
        <f t="shared" si="96"/>
        <v>2245</v>
      </c>
      <c r="W669" s="4" t="s">
        <v>122</v>
      </c>
      <c r="X669" s="2"/>
      <c r="Y669" s="11">
        <v>4</v>
      </c>
      <c r="Z669" s="12">
        <f t="shared" si="98"/>
        <v>1</v>
      </c>
      <c r="AA669" s="4" t="s">
        <v>120</v>
      </c>
      <c r="AC669" s="176">
        <f t="shared" si="94"/>
        <v>4.5454545454545452E-3</v>
      </c>
      <c r="AD669"/>
    </row>
    <row r="670" spans="2:30">
      <c r="B670" s="183">
        <f t="shared" si="99"/>
        <v>20</v>
      </c>
      <c r="C670" s="107" t="str">
        <f t="shared" si="100"/>
        <v>ATK</v>
      </c>
      <c r="D670" s="2" t="s">
        <v>273</v>
      </c>
      <c r="E670" s="3">
        <v>43965</v>
      </c>
      <c r="F670" s="3">
        <v>43965</v>
      </c>
      <c r="G670" s="108">
        <f t="shared" si="101"/>
        <v>5</v>
      </c>
      <c r="H670" s="108" t="str">
        <f t="shared" si="102"/>
        <v>완료</v>
      </c>
      <c r="I670" s="112" t="s">
        <v>218</v>
      </c>
      <c r="J670" s="4" t="s">
        <v>132</v>
      </c>
      <c r="K670" s="5" t="s">
        <v>133</v>
      </c>
      <c r="L670" s="6" t="str">
        <f t="shared" si="97"/>
        <v>3T3</v>
      </c>
      <c r="M670" s="13" t="s">
        <v>270</v>
      </c>
      <c r="N670" s="7" t="s">
        <v>3763</v>
      </c>
      <c r="O670" s="13" t="s">
        <v>1695</v>
      </c>
      <c r="P670" s="115" t="s">
        <v>1836</v>
      </c>
      <c r="Q670" s="8"/>
      <c r="R670" s="2">
        <v>4</v>
      </c>
      <c r="S670" s="9">
        <v>351</v>
      </c>
      <c r="T670" s="10">
        <f t="shared" si="95"/>
        <v>702</v>
      </c>
      <c r="U670" s="9">
        <v>100</v>
      </c>
      <c r="V670" s="10">
        <f t="shared" si="96"/>
        <v>602</v>
      </c>
      <c r="W670" s="4" t="s">
        <v>1837</v>
      </c>
      <c r="X670" s="2"/>
      <c r="Y670" s="11">
        <v>6</v>
      </c>
      <c r="Z670" s="12">
        <f t="shared" si="98"/>
        <v>0</v>
      </c>
      <c r="AA670" s="4" t="s">
        <v>1838</v>
      </c>
      <c r="AC670" s="176">
        <f t="shared" si="94"/>
        <v>9.0909090909090912E-2</v>
      </c>
      <c r="AD670"/>
    </row>
    <row r="671" spans="2:30">
      <c r="B671" s="183">
        <f t="shared" si="99"/>
        <v>20</v>
      </c>
      <c r="C671" s="107" t="str">
        <f t="shared" si="100"/>
        <v>ATK</v>
      </c>
      <c r="D671" s="2" t="s">
        <v>914</v>
      </c>
      <c r="E671" s="3">
        <v>43966</v>
      </c>
      <c r="F671" s="3">
        <v>43966</v>
      </c>
      <c r="G671" s="108">
        <f t="shared" si="101"/>
        <v>5</v>
      </c>
      <c r="H671" s="108" t="str">
        <f t="shared" si="102"/>
        <v>완료</v>
      </c>
      <c r="I671" s="112" t="s">
        <v>218</v>
      </c>
      <c r="J671" s="4" t="s">
        <v>115</v>
      </c>
      <c r="K671" s="5" t="s">
        <v>116</v>
      </c>
      <c r="L671" s="6" t="str">
        <f t="shared" si="97"/>
        <v>EE2</v>
      </c>
      <c r="M671" s="13" t="s">
        <v>1839</v>
      </c>
      <c r="N671" s="13" t="s">
        <v>3764</v>
      </c>
      <c r="O671" s="7" t="s">
        <v>1840</v>
      </c>
      <c r="P671" s="115" t="s">
        <v>1841</v>
      </c>
      <c r="Q671" s="8"/>
      <c r="R671" s="2">
        <v>1</v>
      </c>
      <c r="S671" s="9">
        <v>1000</v>
      </c>
      <c r="T671" s="10">
        <f t="shared" si="95"/>
        <v>500</v>
      </c>
      <c r="U671" s="9">
        <v>2</v>
      </c>
      <c r="V671" s="10">
        <f t="shared" si="96"/>
        <v>498</v>
      </c>
      <c r="W671" s="4" t="s">
        <v>122</v>
      </c>
      <c r="X671" s="2"/>
      <c r="Y671" s="11">
        <v>5</v>
      </c>
      <c r="Z671" s="12">
        <f t="shared" si="98"/>
        <v>0</v>
      </c>
      <c r="AA671" s="4" t="s">
        <v>212</v>
      </c>
      <c r="AC671" s="176">
        <f t="shared" si="94"/>
        <v>1.8181818181818182E-3</v>
      </c>
      <c r="AD671"/>
    </row>
    <row r="672" spans="2:30">
      <c r="B672" s="183">
        <f t="shared" si="99"/>
        <v>20</v>
      </c>
      <c r="C672" s="107" t="str">
        <f t="shared" si="100"/>
        <v>ATK</v>
      </c>
      <c r="D672" s="2" t="s">
        <v>1842</v>
      </c>
      <c r="E672" s="3">
        <v>43966</v>
      </c>
      <c r="F672" s="3">
        <v>43966</v>
      </c>
      <c r="G672" s="108">
        <f t="shared" si="101"/>
        <v>5</v>
      </c>
      <c r="H672" s="108" t="str">
        <f t="shared" si="102"/>
        <v>완료</v>
      </c>
      <c r="I672" s="112" t="s">
        <v>218</v>
      </c>
      <c r="J672" s="4" t="s">
        <v>132</v>
      </c>
      <c r="K672" s="5" t="s">
        <v>133</v>
      </c>
      <c r="L672" s="6" t="str">
        <f t="shared" si="97"/>
        <v>3T3</v>
      </c>
      <c r="M672" s="13" t="s">
        <v>147</v>
      </c>
      <c r="N672" s="7" t="s">
        <v>3490</v>
      </c>
      <c r="O672" s="13" t="s">
        <v>147</v>
      </c>
      <c r="P672" s="115" t="s">
        <v>198</v>
      </c>
      <c r="Q672" s="8"/>
      <c r="R672" s="2">
        <v>1</v>
      </c>
      <c r="S672" s="9">
        <v>1900</v>
      </c>
      <c r="T672" s="10">
        <f t="shared" si="95"/>
        <v>950</v>
      </c>
      <c r="U672" s="9">
        <v>0</v>
      </c>
      <c r="V672" s="10">
        <f t="shared" si="96"/>
        <v>950</v>
      </c>
      <c r="W672" s="4" t="s">
        <v>122</v>
      </c>
      <c r="X672" s="2"/>
      <c r="Y672" s="11">
        <v>3</v>
      </c>
      <c r="Z672" s="12">
        <f t="shared" si="98"/>
        <v>0</v>
      </c>
      <c r="AA672" s="4" t="s">
        <v>174</v>
      </c>
      <c r="AC672" s="176">
        <f t="shared" si="94"/>
        <v>0</v>
      </c>
      <c r="AD672"/>
    </row>
    <row r="673" spans="2:30">
      <c r="B673" s="183">
        <f t="shared" si="99"/>
        <v>20</v>
      </c>
      <c r="C673" s="107" t="str">
        <f t="shared" si="100"/>
        <v>ATK</v>
      </c>
      <c r="D673" s="2" t="s">
        <v>255</v>
      </c>
      <c r="E673" s="3">
        <v>43962</v>
      </c>
      <c r="F673" s="3">
        <v>43966</v>
      </c>
      <c r="G673" s="108">
        <f t="shared" si="101"/>
        <v>5</v>
      </c>
      <c r="H673" s="108" t="str">
        <f t="shared" si="102"/>
        <v>완료</v>
      </c>
      <c r="I673" s="112" t="s">
        <v>264</v>
      </c>
      <c r="J673" s="4" t="s">
        <v>127</v>
      </c>
      <c r="K673" s="5" t="s">
        <v>135</v>
      </c>
      <c r="L673" s="6" t="str">
        <f t="shared" si="97"/>
        <v>1T3</v>
      </c>
      <c r="M673" s="13" t="s">
        <v>256</v>
      </c>
      <c r="N673" s="7" t="s">
        <v>3529</v>
      </c>
      <c r="O673" s="13" t="s">
        <v>482</v>
      </c>
      <c r="P673" s="115" t="s">
        <v>1843</v>
      </c>
      <c r="Q673" s="8"/>
      <c r="R673" s="2">
        <v>2</v>
      </c>
      <c r="S673" s="9">
        <v>1600</v>
      </c>
      <c r="T673" s="10">
        <f t="shared" si="95"/>
        <v>1600</v>
      </c>
      <c r="U673" s="9">
        <v>30</v>
      </c>
      <c r="V673" s="10">
        <f t="shared" si="96"/>
        <v>1570</v>
      </c>
      <c r="W673" s="4" t="s">
        <v>122</v>
      </c>
      <c r="X673" s="2"/>
      <c r="Y673" s="11">
        <v>4</v>
      </c>
      <c r="Z673" s="12">
        <f t="shared" si="98"/>
        <v>4</v>
      </c>
      <c r="AA673" s="4" t="s">
        <v>27</v>
      </c>
      <c r="AC673" s="176">
        <f t="shared" si="94"/>
        <v>2.7272727272727271E-2</v>
      </c>
      <c r="AD673"/>
    </row>
    <row r="674" spans="2:30">
      <c r="B674" s="183">
        <f t="shared" si="99"/>
        <v>20</v>
      </c>
      <c r="C674" s="107" t="str">
        <f t="shared" si="100"/>
        <v>ATK</v>
      </c>
      <c r="D674" s="2" t="s">
        <v>255</v>
      </c>
      <c r="E674" s="3">
        <v>43965</v>
      </c>
      <c r="F674" s="3">
        <v>43966</v>
      </c>
      <c r="G674" s="108">
        <f t="shared" si="101"/>
        <v>5</v>
      </c>
      <c r="H674" s="108" t="str">
        <f t="shared" si="102"/>
        <v>완료</v>
      </c>
      <c r="I674" s="112" t="s">
        <v>264</v>
      </c>
      <c r="J674" s="4" t="s">
        <v>127</v>
      </c>
      <c r="K674" s="5" t="s">
        <v>135</v>
      </c>
      <c r="L674" s="6" t="str">
        <f t="shared" si="97"/>
        <v>1T3</v>
      </c>
      <c r="M674" s="13" t="s">
        <v>256</v>
      </c>
      <c r="N674" s="7" t="s">
        <v>3594</v>
      </c>
      <c r="O674" s="13" t="s">
        <v>482</v>
      </c>
      <c r="P674" s="115" t="s">
        <v>944</v>
      </c>
      <c r="Q674" s="8"/>
      <c r="R674" s="2">
        <v>1</v>
      </c>
      <c r="S674" s="9">
        <v>1600</v>
      </c>
      <c r="T674" s="10">
        <f t="shared" si="95"/>
        <v>800</v>
      </c>
      <c r="U674" s="9">
        <v>20</v>
      </c>
      <c r="V674" s="10">
        <f t="shared" si="96"/>
        <v>780</v>
      </c>
      <c r="W674" s="4" t="s">
        <v>122</v>
      </c>
      <c r="X674" s="2"/>
      <c r="Y674" s="11">
        <v>2</v>
      </c>
      <c r="Z674" s="12">
        <f t="shared" si="98"/>
        <v>1</v>
      </c>
      <c r="AA674" s="4" t="s">
        <v>27</v>
      </c>
      <c r="AC674" s="176">
        <f t="shared" si="94"/>
        <v>1.8181818181818181E-2</v>
      </c>
      <c r="AD674"/>
    </row>
    <row r="675" spans="2:30">
      <c r="B675" s="183">
        <f t="shared" si="99"/>
        <v>20</v>
      </c>
      <c r="C675" s="107" t="str">
        <f t="shared" si="100"/>
        <v>ATK</v>
      </c>
      <c r="D675" s="2" t="s">
        <v>223</v>
      </c>
      <c r="E675" s="3">
        <v>43964</v>
      </c>
      <c r="F675" s="3">
        <v>43966</v>
      </c>
      <c r="G675" s="108">
        <f t="shared" si="101"/>
        <v>5</v>
      </c>
      <c r="H675" s="108" t="str">
        <f t="shared" si="102"/>
        <v>완료</v>
      </c>
      <c r="I675" s="112" t="s">
        <v>264</v>
      </c>
      <c r="J675" s="4" t="s">
        <v>1090</v>
      </c>
      <c r="K675" s="5" t="s">
        <v>1091</v>
      </c>
      <c r="L675" s="6" t="str">
        <f t="shared" si="97"/>
        <v>5T2</v>
      </c>
      <c r="M675" s="13" t="s">
        <v>270</v>
      </c>
      <c r="N675" s="7" t="s">
        <v>3560</v>
      </c>
      <c r="O675" s="13" t="s">
        <v>270</v>
      </c>
      <c r="P675" s="115" t="s">
        <v>271</v>
      </c>
      <c r="Q675" s="8"/>
      <c r="R675" s="2">
        <v>1</v>
      </c>
      <c r="S675" s="9">
        <v>910</v>
      </c>
      <c r="T675" s="10">
        <f t="shared" si="95"/>
        <v>455</v>
      </c>
      <c r="U675" s="9">
        <v>50</v>
      </c>
      <c r="V675" s="10">
        <f t="shared" si="96"/>
        <v>405</v>
      </c>
      <c r="W675" s="4" t="s">
        <v>249</v>
      </c>
      <c r="X675" s="2"/>
      <c r="Y675" s="11">
        <v>2</v>
      </c>
      <c r="Z675" s="12">
        <f t="shared" si="98"/>
        <v>2</v>
      </c>
      <c r="AA675" s="4" t="s">
        <v>174</v>
      </c>
      <c r="AC675" s="176">
        <f t="shared" si="94"/>
        <v>4.5454545454545456E-2</v>
      </c>
      <c r="AD675"/>
    </row>
    <row r="676" spans="2:30">
      <c r="B676" s="183">
        <f t="shared" si="99"/>
        <v>20</v>
      </c>
      <c r="C676" s="107" t="str">
        <f t="shared" si="100"/>
        <v>ATK</v>
      </c>
      <c r="D676" s="2" t="s">
        <v>1789</v>
      </c>
      <c r="E676" s="3">
        <v>43962</v>
      </c>
      <c r="F676" s="3">
        <v>43966</v>
      </c>
      <c r="G676" s="108">
        <f t="shared" si="101"/>
        <v>5</v>
      </c>
      <c r="H676" s="108" t="str">
        <f t="shared" si="102"/>
        <v>완료</v>
      </c>
      <c r="I676" s="112" t="s">
        <v>264</v>
      </c>
      <c r="J676" s="4" t="s">
        <v>127</v>
      </c>
      <c r="K676" s="5" t="s">
        <v>128</v>
      </c>
      <c r="L676" s="6" t="str">
        <f t="shared" si="97"/>
        <v>1T1</v>
      </c>
      <c r="M676" s="13" t="s">
        <v>270</v>
      </c>
      <c r="N676" s="7" t="s">
        <v>3631</v>
      </c>
      <c r="O676" s="13" t="s">
        <v>270</v>
      </c>
      <c r="P676" s="115" t="s">
        <v>271</v>
      </c>
      <c r="Q676" s="8"/>
      <c r="R676" s="2">
        <v>1</v>
      </c>
      <c r="S676" s="9">
        <v>710</v>
      </c>
      <c r="T676" s="10">
        <f t="shared" si="95"/>
        <v>355</v>
      </c>
      <c r="U676" s="9">
        <v>25</v>
      </c>
      <c r="V676" s="10">
        <f t="shared" si="96"/>
        <v>330</v>
      </c>
      <c r="W676" s="4" t="s">
        <v>249</v>
      </c>
      <c r="X676" s="2"/>
      <c r="Y676" s="11">
        <v>2</v>
      </c>
      <c r="Z676" s="12">
        <f t="shared" si="98"/>
        <v>4</v>
      </c>
      <c r="AA676" s="4" t="s">
        <v>174</v>
      </c>
      <c r="AC676" s="176">
        <f t="shared" si="94"/>
        <v>2.2727272727272728E-2</v>
      </c>
      <c r="AD676"/>
    </row>
    <row r="677" spans="2:30">
      <c r="B677" s="183">
        <f t="shared" si="99"/>
        <v>21</v>
      </c>
      <c r="C677" s="107" t="str">
        <f t="shared" si="100"/>
        <v>ATK</v>
      </c>
      <c r="D677" s="2" t="s">
        <v>1844</v>
      </c>
      <c r="E677" s="3">
        <v>43969</v>
      </c>
      <c r="F677" s="3">
        <v>43969</v>
      </c>
      <c r="G677" s="108">
        <f t="shared" si="101"/>
        <v>5</v>
      </c>
      <c r="H677" s="108" t="str">
        <f t="shared" si="102"/>
        <v>완료</v>
      </c>
      <c r="I677" s="112" t="s">
        <v>218</v>
      </c>
      <c r="J677" s="4" t="s">
        <v>243</v>
      </c>
      <c r="K677" s="5" t="s">
        <v>243</v>
      </c>
      <c r="L677" s="6" t="str">
        <f t="shared" si="97"/>
        <v>K5</v>
      </c>
      <c r="M677" s="13" t="s">
        <v>730</v>
      </c>
      <c r="N677" s="7" t="s">
        <v>3491</v>
      </c>
      <c r="O677" s="13" t="s">
        <v>1440</v>
      </c>
      <c r="P677" s="115"/>
      <c r="Q677" s="8"/>
      <c r="R677" s="2">
        <v>1</v>
      </c>
      <c r="S677" s="9">
        <v>5000</v>
      </c>
      <c r="T677" s="10">
        <f t="shared" si="95"/>
        <v>2500</v>
      </c>
      <c r="U677" s="9">
        <v>1</v>
      </c>
      <c r="V677" s="10">
        <f t="shared" si="96"/>
        <v>2499</v>
      </c>
      <c r="W677" s="4" t="s">
        <v>122</v>
      </c>
      <c r="X677" s="2"/>
      <c r="Y677" s="11">
        <v>1</v>
      </c>
      <c r="Z677" s="12">
        <f t="shared" si="98"/>
        <v>0</v>
      </c>
      <c r="AA677" s="4" t="s">
        <v>117</v>
      </c>
      <c r="AC677" s="176">
        <f t="shared" si="94"/>
        <v>9.0909090909090909E-4</v>
      </c>
      <c r="AD677"/>
    </row>
    <row r="678" spans="2:30">
      <c r="B678" s="183">
        <f t="shared" si="99"/>
        <v>21</v>
      </c>
      <c r="C678" s="107" t="str">
        <f t="shared" si="100"/>
        <v>ATK</v>
      </c>
      <c r="D678" s="2" t="s">
        <v>1845</v>
      </c>
      <c r="E678" s="3">
        <v>43969</v>
      </c>
      <c r="F678" s="3">
        <v>43969</v>
      </c>
      <c r="G678" s="108">
        <f t="shared" si="101"/>
        <v>5</v>
      </c>
      <c r="H678" s="108" t="str">
        <f t="shared" si="102"/>
        <v>완료</v>
      </c>
      <c r="I678" s="112" t="s">
        <v>218</v>
      </c>
      <c r="J678" s="4" t="s">
        <v>243</v>
      </c>
      <c r="K678" s="5" t="s">
        <v>243</v>
      </c>
      <c r="L678" s="6" t="str">
        <f t="shared" si="97"/>
        <v>K5</v>
      </c>
      <c r="M678" s="13" t="s">
        <v>1846</v>
      </c>
      <c r="N678" s="7" t="s">
        <v>3765</v>
      </c>
      <c r="O678" s="13" t="s">
        <v>1847</v>
      </c>
      <c r="P678" s="115" t="s">
        <v>1560</v>
      </c>
      <c r="Q678" s="8"/>
      <c r="R678" s="2">
        <v>1</v>
      </c>
      <c r="S678" s="9">
        <v>1200</v>
      </c>
      <c r="T678" s="10">
        <f t="shared" si="95"/>
        <v>600</v>
      </c>
      <c r="U678" s="9">
        <v>20</v>
      </c>
      <c r="V678" s="10">
        <f t="shared" si="96"/>
        <v>580</v>
      </c>
      <c r="W678" s="4" t="s">
        <v>122</v>
      </c>
      <c r="X678" s="2"/>
      <c r="Y678" s="11">
        <v>4</v>
      </c>
      <c r="Z678" s="12">
        <f t="shared" si="98"/>
        <v>0</v>
      </c>
      <c r="AA678" s="4" t="s">
        <v>212</v>
      </c>
      <c r="AC678" s="176">
        <f t="shared" si="94"/>
        <v>1.8181818181818181E-2</v>
      </c>
      <c r="AD678"/>
    </row>
    <row r="679" spans="2:30">
      <c r="B679" s="183">
        <f t="shared" si="99"/>
        <v>21</v>
      </c>
      <c r="C679" s="107" t="str">
        <f t="shared" si="100"/>
        <v>ATK</v>
      </c>
      <c r="D679" s="2" t="s">
        <v>1848</v>
      </c>
      <c r="E679" s="3">
        <v>43969</v>
      </c>
      <c r="F679" s="3">
        <v>43969</v>
      </c>
      <c r="G679" s="108">
        <f t="shared" si="101"/>
        <v>5</v>
      </c>
      <c r="H679" s="108" t="str">
        <f t="shared" si="102"/>
        <v>완료</v>
      </c>
      <c r="I679" s="112" t="s">
        <v>218</v>
      </c>
      <c r="J679" s="4" t="s">
        <v>139</v>
      </c>
      <c r="K679" s="5" t="s">
        <v>466</v>
      </c>
      <c r="L679" s="6" t="str">
        <f t="shared" si="97"/>
        <v>6T2</v>
      </c>
      <c r="M679" s="13" t="s">
        <v>1846</v>
      </c>
      <c r="N679" s="7" t="s">
        <v>3765</v>
      </c>
      <c r="O679" s="13" t="s">
        <v>1849</v>
      </c>
      <c r="P679" s="115" t="s">
        <v>1850</v>
      </c>
      <c r="Q679" s="8"/>
      <c r="R679" s="2">
        <v>1</v>
      </c>
      <c r="S679" s="9">
        <v>5000</v>
      </c>
      <c r="T679" s="10">
        <f t="shared" si="95"/>
        <v>2500</v>
      </c>
      <c r="U679" s="9">
        <v>0</v>
      </c>
      <c r="V679" s="10">
        <f t="shared" si="96"/>
        <v>2500</v>
      </c>
      <c r="W679" s="4" t="s">
        <v>122</v>
      </c>
      <c r="X679" s="2"/>
      <c r="Y679" s="11">
        <v>4</v>
      </c>
      <c r="Z679" s="12">
        <f t="shared" si="98"/>
        <v>0</v>
      </c>
      <c r="AA679" s="4" t="s">
        <v>212</v>
      </c>
      <c r="AC679" s="176">
        <f t="shared" si="94"/>
        <v>0</v>
      </c>
      <c r="AD679"/>
    </row>
    <row r="680" spans="2:30">
      <c r="B680" s="183">
        <f t="shared" si="99"/>
        <v>21</v>
      </c>
      <c r="C680" s="107" t="str">
        <f t="shared" si="100"/>
        <v>ATK</v>
      </c>
      <c r="D680" s="2" t="s">
        <v>379</v>
      </c>
      <c r="E680" s="3">
        <v>43969</v>
      </c>
      <c r="F680" s="3">
        <v>43969</v>
      </c>
      <c r="G680" s="108">
        <f t="shared" si="101"/>
        <v>5</v>
      </c>
      <c r="H680" s="108" t="str">
        <f t="shared" si="102"/>
        <v>완료</v>
      </c>
      <c r="I680" s="112" t="s">
        <v>218</v>
      </c>
      <c r="J680" s="4" t="s">
        <v>132</v>
      </c>
      <c r="K680" s="5" t="s">
        <v>322</v>
      </c>
      <c r="L680" s="6" t="str">
        <f t="shared" si="97"/>
        <v>3T1</v>
      </c>
      <c r="M680" s="13" t="s">
        <v>226</v>
      </c>
      <c r="N680" s="7" t="s">
        <v>3766</v>
      </c>
      <c r="O680" s="13" t="s">
        <v>1378</v>
      </c>
      <c r="P680" s="115" t="s">
        <v>1851</v>
      </c>
      <c r="Q680" s="8"/>
      <c r="R680" s="2">
        <v>1</v>
      </c>
      <c r="S680" s="9">
        <v>500</v>
      </c>
      <c r="T680" s="10">
        <f t="shared" si="95"/>
        <v>250</v>
      </c>
      <c r="U680" s="9">
        <v>0</v>
      </c>
      <c r="V680" s="10">
        <f t="shared" si="96"/>
        <v>250</v>
      </c>
      <c r="W680" s="4" t="s">
        <v>122</v>
      </c>
      <c r="X680" s="2"/>
      <c r="Y680" s="11">
        <v>2</v>
      </c>
      <c r="Z680" s="12">
        <f t="shared" si="98"/>
        <v>0</v>
      </c>
      <c r="AA680" s="4" t="s">
        <v>27</v>
      </c>
      <c r="AC680" s="176">
        <f t="shared" si="94"/>
        <v>0</v>
      </c>
      <c r="AD680"/>
    </row>
    <row r="681" spans="2:30">
      <c r="B681" s="183">
        <f t="shared" si="99"/>
        <v>21</v>
      </c>
      <c r="C681" s="107" t="str">
        <f t="shared" si="100"/>
        <v>ATK</v>
      </c>
      <c r="D681" s="2" t="s">
        <v>1852</v>
      </c>
      <c r="E681" s="3">
        <v>43969</v>
      </c>
      <c r="F681" s="3">
        <v>43969</v>
      </c>
      <c r="G681" s="108">
        <f t="shared" si="101"/>
        <v>5</v>
      </c>
      <c r="H681" s="108" t="str">
        <f t="shared" si="102"/>
        <v>완료</v>
      </c>
      <c r="I681" s="112" t="s">
        <v>218</v>
      </c>
      <c r="J681" s="4" t="s">
        <v>118</v>
      </c>
      <c r="K681" s="5" t="s">
        <v>119</v>
      </c>
      <c r="L681" s="6" t="str">
        <f t="shared" si="97"/>
        <v>2T3</v>
      </c>
      <c r="M681" s="13" t="s">
        <v>730</v>
      </c>
      <c r="N681" s="7" t="s">
        <v>3767</v>
      </c>
      <c r="O681" s="13" t="s">
        <v>1853</v>
      </c>
      <c r="P681" s="115" t="s">
        <v>1854</v>
      </c>
      <c r="Q681" s="8"/>
      <c r="R681" s="2">
        <v>2</v>
      </c>
      <c r="S681" s="9">
        <v>1500</v>
      </c>
      <c r="T681" s="10">
        <f t="shared" si="95"/>
        <v>1500</v>
      </c>
      <c r="U681" s="9"/>
      <c r="V681" s="10">
        <f t="shared" si="96"/>
        <v>1500</v>
      </c>
      <c r="W681" s="4" t="s">
        <v>122</v>
      </c>
      <c r="X681" s="2"/>
      <c r="Y681" s="11">
        <v>10</v>
      </c>
      <c r="Z681" s="12">
        <f t="shared" si="98"/>
        <v>0</v>
      </c>
      <c r="AA681" s="4" t="s">
        <v>259</v>
      </c>
      <c r="AC681" s="176">
        <f t="shared" si="94"/>
        <v>0</v>
      </c>
      <c r="AD681"/>
    </row>
    <row r="682" spans="2:30">
      <c r="B682" s="183">
        <f t="shared" si="99"/>
        <v>21</v>
      </c>
      <c r="C682" s="107" t="str">
        <f t="shared" si="100"/>
        <v>ATK</v>
      </c>
      <c r="D682" s="2" t="s">
        <v>1789</v>
      </c>
      <c r="E682" s="3">
        <v>43969</v>
      </c>
      <c r="F682" s="3">
        <v>43969</v>
      </c>
      <c r="G682" s="108">
        <f t="shared" si="101"/>
        <v>5</v>
      </c>
      <c r="H682" s="108" t="str">
        <f t="shared" si="102"/>
        <v>완료</v>
      </c>
      <c r="I682" s="112" t="s">
        <v>218</v>
      </c>
      <c r="J682" s="4" t="s">
        <v>127</v>
      </c>
      <c r="K682" s="5" t="s">
        <v>128</v>
      </c>
      <c r="L682" s="6" t="str">
        <f t="shared" si="97"/>
        <v>1T1</v>
      </c>
      <c r="M682" s="13" t="s">
        <v>270</v>
      </c>
      <c r="N682" s="7" t="s">
        <v>3631</v>
      </c>
      <c r="O682" s="13" t="s">
        <v>270</v>
      </c>
      <c r="P682" s="115" t="s">
        <v>271</v>
      </c>
      <c r="Q682" s="8"/>
      <c r="R682" s="2">
        <v>1</v>
      </c>
      <c r="S682" s="9">
        <v>910</v>
      </c>
      <c r="T682" s="10">
        <f t="shared" si="95"/>
        <v>455</v>
      </c>
      <c r="U682" s="9">
        <v>75</v>
      </c>
      <c r="V682" s="10">
        <f t="shared" si="96"/>
        <v>380</v>
      </c>
      <c r="W682" s="4" t="s">
        <v>249</v>
      </c>
      <c r="X682" s="2"/>
      <c r="Y682" s="11">
        <v>2</v>
      </c>
      <c r="Z682" s="12">
        <f t="shared" si="98"/>
        <v>0</v>
      </c>
      <c r="AA682" s="4" t="s">
        <v>174</v>
      </c>
      <c r="AC682" s="176">
        <f t="shared" si="94"/>
        <v>6.8181818181818177E-2</v>
      </c>
      <c r="AD682"/>
    </row>
    <row r="683" spans="2:30">
      <c r="B683" s="183">
        <f t="shared" si="99"/>
        <v>21</v>
      </c>
      <c r="C683" s="107" t="str">
        <f t="shared" si="100"/>
        <v>ATK</v>
      </c>
      <c r="D683" s="2" t="s">
        <v>1306</v>
      </c>
      <c r="E683" s="3">
        <v>43969</v>
      </c>
      <c r="F683" s="3">
        <v>43969</v>
      </c>
      <c r="G683" s="108">
        <f t="shared" si="101"/>
        <v>5</v>
      </c>
      <c r="H683" s="108" t="str">
        <f t="shared" si="102"/>
        <v>완료</v>
      </c>
      <c r="I683" s="112" t="s">
        <v>218</v>
      </c>
      <c r="J683" s="4" t="s">
        <v>1855</v>
      </c>
      <c r="K683" s="5" t="s">
        <v>1856</v>
      </c>
      <c r="L683" s="6" t="str">
        <f t="shared" si="97"/>
        <v>5T1</v>
      </c>
      <c r="M683" s="13" t="s">
        <v>207</v>
      </c>
      <c r="N683" s="7" t="s">
        <v>3768</v>
      </c>
      <c r="O683" s="13" t="s">
        <v>1857</v>
      </c>
      <c r="P683" s="115" t="s">
        <v>1858</v>
      </c>
      <c r="Q683" s="8"/>
      <c r="R683" s="2">
        <v>1</v>
      </c>
      <c r="S683" s="9">
        <v>400</v>
      </c>
      <c r="T683" s="10">
        <f t="shared" si="95"/>
        <v>200</v>
      </c>
      <c r="U683" s="9">
        <v>20</v>
      </c>
      <c r="V683" s="10">
        <f t="shared" si="96"/>
        <v>180</v>
      </c>
      <c r="W683" s="4" t="s">
        <v>1859</v>
      </c>
      <c r="X683" s="2"/>
      <c r="Y683" s="11">
        <v>2</v>
      </c>
      <c r="Z683" s="12">
        <f t="shared" si="98"/>
        <v>0</v>
      </c>
      <c r="AA683" s="4" t="s">
        <v>1860</v>
      </c>
      <c r="AC683" s="176">
        <f t="shared" si="94"/>
        <v>1.8181818181818181E-2</v>
      </c>
      <c r="AD683"/>
    </row>
    <row r="684" spans="2:30">
      <c r="B684" s="183">
        <f t="shared" si="99"/>
        <v>21</v>
      </c>
      <c r="C684" s="107" t="str">
        <f t="shared" si="100"/>
        <v>ATK</v>
      </c>
      <c r="D684" s="2" t="s">
        <v>1865</v>
      </c>
      <c r="E684" s="3">
        <v>43962</v>
      </c>
      <c r="F684" s="3">
        <v>43969</v>
      </c>
      <c r="G684" s="108">
        <f t="shared" si="101"/>
        <v>5</v>
      </c>
      <c r="H684" s="108" t="str">
        <f t="shared" si="102"/>
        <v>완료</v>
      </c>
      <c r="I684" s="112" t="s">
        <v>218</v>
      </c>
      <c r="J684" s="4" t="s">
        <v>139</v>
      </c>
      <c r="K684" s="5" t="s">
        <v>177</v>
      </c>
      <c r="L684" s="6" t="str">
        <f t="shared" si="97"/>
        <v>Bum</v>
      </c>
      <c r="M684" s="13" t="s">
        <v>1861</v>
      </c>
      <c r="N684" s="7" t="s">
        <v>3769</v>
      </c>
      <c r="O684" s="13" t="s">
        <v>1862</v>
      </c>
      <c r="P684" s="115" t="s">
        <v>1863</v>
      </c>
      <c r="Q684" s="8" t="s">
        <v>1864</v>
      </c>
      <c r="R684" s="2">
        <v>1</v>
      </c>
      <c r="S684" s="9">
        <v>2500</v>
      </c>
      <c r="T684" s="10">
        <f t="shared" si="95"/>
        <v>1250</v>
      </c>
      <c r="U684" s="9">
        <v>2</v>
      </c>
      <c r="V684" s="10">
        <f t="shared" si="96"/>
        <v>1248</v>
      </c>
      <c r="W684" s="4" t="s">
        <v>122</v>
      </c>
      <c r="X684" s="2"/>
      <c r="Y684" s="11">
        <v>4</v>
      </c>
      <c r="Z684" s="12">
        <f t="shared" si="98"/>
        <v>7</v>
      </c>
      <c r="AA684" s="4" t="s">
        <v>120</v>
      </c>
      <c r="AC684" s="176">
        <f t="shared" si="94"/>
        <v>1.8181818181818182E-3</v>
      </c>
      <c r="AD684"/>
    </row>
    <row r="685" spans="2:30">
      <c r="B685" s="183">
        <f t="shared" si="99"/>
        <v>21</v>
      </c>
      <c r="C685" s="107" t="str">
        <f t="shared" si="100"/>
        <v>ATK</v>
      </c>
      <c r="D685" s="2" t="s">
        <v>498</v>
      </c>
      <c r="E685" s="3">
        <v>43969</v>
      </c>
      <c r="F685" s="3">
        <v>43969</v>
      </c>
      <c r="G685" s="108">
        <f t="shared" si="101"/>
        <v>5</v>
      </c>
      <c r="H685" s="108" t="str">
        <f t="shared" si="102"/>
        <v>완료</v>
      </c>
      <c r="I685" s="112" t="s">
        <v>218</v>
      </c>
      <c r="J685" s="4" t="s">
        <v>499</v>
      </c>
      <c r="K685" s="5" t="s">
        <v>499</v>
      </c>
      <c r="L685" s="6" t="str">
        <f t="shared" si="97"/>
        <v>QA</v>
      </c>
      <c r="M685" s="13" t="s">
        <v>1866</v>
      </c>
      <c r="N685" s="194" t="s">
        <v>3770</v>
      </c>
      <c r="O685" s="13" t="s">
        <v>1867</v>
      </c>
      <c r="P685" s="115" t="s">
        <v>1868</v>
      </c>
      <c r="Q685" s="8" t="s">
        <v>1869</v>
      </c>
      <c r="R685" s="2">
        <v>1</v>
      </c>
      <c r="S685" s="9">
        <v>4500</v>
      </c>
      <c r="T685" s="10">
        <f t="shared" si="95"/>
        <v>2250</v>
      </c>
      <c r="U685" s="9">
        <v>1</v>
      </c>
      <c r="V685" s="10">
        <f t="shared" si="96"/>
        <v>2249</v>
      </c>
      <c r="W685" s="4" t="s">
        <v>122</v>
      </c>
      <c r="X685" s="2"/>
      <c r="Y685" s="11">
        <v>4</v>
      </c>
      <c r="Z685" s="12">
        <f t="shared" si="98"/>
        <v>0</v>
      </c>
      <c r="AA685" s="4" t="s">
        <v>120</v>
      </c>
      <c r="AC685" s="176">
        <f t="shared" si="94"/>
        <v>9.0909090909090909E-4</v>
      </c>
      <c r="AD685"/>
    </row>
    <row r="686" spans="2:30">
      <c r="B686" s="183">
        <f t="shared" si="99"/>
        <v>21</v>
      </c>
      <c r="C686" s="107" t="str">
        <f t="shared" si="100"/>
        <v>ATK</v>
      </c>
      <c r="D686" s="2" t="s">
        <v>1870</v>
      </c>
      <c r="E686" s="3">
        <v>43969</v>
      </c>
      <c r="F686" s="3">
        <v>43969</v>
      </c>
      <c r="G686" s="108">
        <f t="shared" si="101"/>
        <v>5</v>
      </c>
      <c r="H686" s="108" t="str">
        <f t="shared" si="102"/>
        <v>완료</v>
      </c>
      <c r="I686" s="112" t="s">
        <v>218</v>
      </c>
      <c r="J686" s="4" t="s">
        <v>118</v>
      </c>
      <c r="K686" s="5" t="s">
        <v>119</v>
      </c>
      <c r="L686" s="6" t="str">
        <f t="shared" si="97"/>
        <v>2T3</v>
      </c>
      <c r="M686" s="13" t="s">
        <v>730</v>
      </c>
      <c r="N686" s="7" t="s">
        <v>3491</v>
      </c>
      <c r="O686" s="13" t="s">
        <v>1871</v>
      </c>
      <c r="P686" s="115"/>
      <c r="Q686" s="8"/>
      <c r="R686" s="2">
        <v>1</v>
      </c>
      <c r="S686" s="9">
        <v>1200</v>
      </c>
      <c r="T686" s="10">
        <f t="shared" si="95"/>
        <v>600</v>
      </c>
      <c r="U686" s="9">
        <v>5</v>
      </c>
      <c r="V686" s="10">
        <f t="shared" si="96"/>
        <v>595</v>
      </c>
      <c r="W686" s="4" t="s">
        <v>122</v>
      </c>
      <c r="X686" s="2"/>
      <c r="Y686" s="11">
        <v>2</v>
      </c>
      <c r="Z686" s="12">
        <f t="shared" si="98"/>
        <v>0</v>
      </c>
      <c r="AA686" s="4" t="s">
        <v>117</v>
      </c>
      <c r="AC686" s="176">
        <f t="shared" si="94"/>
        <v>4.5454545454545452E-3</v>
      </c>
      <c r="AD686"/>
    </row>
    <row r="687" spans="2:30">
      <c r="B687" s="183">
        <f t="shared" si="99"/>
        <v>21</v>
      </c>
      <c r="C687" s="107" t="str">
        <f t="shared" si="100"/>
        <v>ATK</v>
      </c>
      <c r="D687" s="2" t="s">
        <v>1872</v>
      </c>
      <c r="E687" s="3">
        <v>43969</v>
      </c>
      <c r="F687" s="3">
        <v>43969</v>
      </c>
      <c r="G687" s="108">
        <f t="shared" si="101"/>
        <v>5</v>
      </c>
      <c r="H687" s="108" t="str">
        <f t="shared" si="102"/>
        <v>완료</v>
      </c>
      <c r="I687" s="112" t="s">
        <v>218</v>
      </c>
      <c r="J687" s="4" t="s">
        <v>115</v>
      </c>
      <c r="K687" s="5" t="s">
        <v>116</v>
      </c>
      <c r="L687" s="6" t="str">
        <f t="shared" si="97"/>
        <v>EE2</v>
      </c>
      <c r="M687" s="13" t="s">
        <v>1763</v>
      </c>
      <c r="N687" s="7" t="s">
        <v>3588</v>
      </c>
      <c r="O687" s="13" t="s">
        <v>339</v>
      </c>
      <c r="P687" s="115"/>
      <c r="Q687" s="8"/>
      <c r="R687" s="2">
        <v>2</v>
      </c>
      <c r="S687" s="9">
        <v>1500</v>
      </c>
      <c r="T687" s="10">
        <f t="shared" si="95"/>
        <v>1500</v>
      </c>
      <c r="U687" s="9">
        <v>30</v>
      </c>
      <c r="V687" s="10">
        <f t="shared" si="96"/>
        <v>1470</v>
      </c>
      <c r="W687" s="4" t="s">
        <v>122</v>
      </c>
      <c r="X687" s="2"/>
      <c r="Y687" s="11">
        <v>3</v>
      </c>
      <c r="Z687" s="12">
        <f t="shared" si="98"/>
        <v>0</v>
      </c>
      <c r="AA687" s="4" t="s">
        <v>117</v>
      </c>
      <c r="AC687" s="176">
        <f t="shared" si="94"/>
        <v>2.7272727272727271E-2</v>
      </c>
      <c r="AD687"/>
    </row>
    <row r="688" spans="2:30">
      <c r="B688" s="183">
        <f t="shared" si="99"/>
        <v>21</v>
      </c>
      <c r="C688" s="107" t="str">
        <f t="shared" si="100"/>
        <v>ATK</v>
      </c>
      <c r="D688" s="2" t="s">
        <v>255</v>
      </c>
      <c r="E688" s="3">
        <v>43969</v>
      </c>
      <c r="F688" s="3">
        <v>43969</v>
      </c>
      <c r="G688" s="108">
        <f t="shared" si="101"/>
        <v>5</v>
      </c>
      <c r="H688" s="108" t="str">
        <f t="shared" si="102"/>
        <v>완료</v>
      </c>
      <c r="I688" s="112" t="s">
        <v>218</v>
      </c>
      <c r="J688" s="4" t="s">
        <v>127</v>
      </c>
      <c r="K688" s="5" t="s">
        <v>135</v>
      </c>
      <c r="L688" s="6" t="str">
        <f t="shared" si="97"/>
        <v>1T3</v>
      </c>
      <c r="M688" s="13" t="s">
        <v>256</v>
      </c>
      <c r="N688" s="7" t="s">
        <v>3529</v>
      </c>
      <c r="O688" s="13" t="s">
        <v>1402</v>
      </c>
      <c r="P688" s="115" t="s">
        <v>330</v>
      </c>
      <c r="Q688" s="8"/>
      <c r="R688" s="2">
        <v>1</v>
      </c>
      <c r="S688" s="9">
        <v>3500</v>
      </c>
      <c r="T688" s="10">
        <f t="shared" si="95"/>
        <v>1750</v>
      </c>
      <c r="U688" s="9">
        <v>0</v>
      </c>
      <c r="V688" s="10">
        <f t="shared" si="96"/>
        <v>1750</v>
      </c>
      <c r="W688" s="4" t="s">
        <v>249</v>
      </c>
      <c r="X688" s="2"/>
      <c r="Y688" s="11">
        <v>2</v>
      </c>
      <c r="Z688" s="12">
        <f t="shared" si="98"/>
        <v>0</v>
      </c>
      <c r="AA688" s="4" t="s">
        <v>27</v>
      </c>
      <c r="AC688" s="176">
        <f t="shared" si="94"/>
        <v>0</v>
      </c>
      <c r="AD688"/>
    </row>
    <row r="689" spans="2:30">
      <c r="B689" s="183">
        <f t="shared" si="99"/>
        <v>21</v>
      </c>
      <c r="C689" s="107" t="str">
        <f t="shared" si="100"/>
        <v>ATK</v>
      </c>
      <c r="D689" s="2" t="s">
        <v>1873</v>
      </c>
      <c r="E689" s="3">
        <v>43969</v>
      </c>
      <c r="F689" s="3">
        <v>43969</v>
      </c>
      <c r="G689" s="108">
        <f t="shared" si="101"/>
        <v>5</v>
      </c>
      <c r="H689" s="108" t="str">
        <f t="shared" si="102"/>
        <v>완료</v>
      </c>
      <c r="I689" s="112" t="s">
        <v>1874</v>
      </c>
      <c r="J689" s="4" t="s">
        <v>1875</v>
      </c>
      <c r="K689" s="5" t="s">
        <v>1876</v>
      </c>
      <c r="L689" s="6" t="str">
        <f t="shared" si="97"/>
        <v>EE1</v>
      </c>
      <c r="M689" s="13" t="s">
        <v>1877</v>
      </c>
      <c r="N689" s="7" t="s">
        <v>3771</v>
      </c>
      <c r="O689" s="13" t="s">
        <v>1877</v>
      </c>
      <c r="P689" s="115" t="s">
        <v>1878</v>
      </c>
      <c r="Q689" s="8"/>
      <c r="R689" s="2">
        <v>1</v>
      </c>
      <c r="S689" s="9">
        <v>500</v>
      </c>
      <c r="T689" s="10">
        <f t="shared" si="95"/>
        <v>250</v>
      </c>
      <c r="U689" s="9">
        <v>25</v>
      </c>
      <c r="V689" s="10">
        <f t="shared" si="96"/>
        <v>225</v>
      </c>
      <c r="W689" s="4" t="s">
        <v>1879</v>
      </c>
      <c r="X689" s="2"/>
      <c r="Y689" s="11">
        <v>2</v>
      </c>
      <c r="Z689" s="12">
        <f t="shared" si="98"/>
        <v>0</v>
      </c>
      <c r="AA689" s="4" t="s">
        <v>1880</v>
      </c>
      <c r="AC689" s="176">
        <f t="shared" si="94"/>
        <v>2.2727272727272728E-2</v>
      </c>
      <c r="AD689"/>
    </row>
    <row r="690" spans="2:30">
      <c r="B690" s="183">
        <f t="shared" si="99"/>
        <v>21</v>
      </c>
      <c r="C690" s="107" t="str">
        <f t="shared" si="100"/>
        <v>ATK</v>
      </c>
      <c r="D690" s="2" t="s">
        <v>704</v>
      </c>
      <c r="E690" s="3">
        <v>43969</v>
      </c>
      <c r="F690" s="3">
        <v>43970</v>
      </c>
      <c r="G690" s="108">
        <f t="shared" si="101"/>
        <v>5</v>
      </c>
      <c r="H690" s="108" t="str">
        <f t="shared" si="102"/>
        <v>Other</v>
      </c>
      <c r="I690" s="112" t="s">
        <v>317</v>
      </c>
      <c r="J690" s="4" t="s">
        <v>127</v>
      </c>
      <c r="K690" s="5" t="s">
        <v>131</v>
      </c>
      <c r="L690" s="6" t="str">
        <f t="shared" si="97"/>
        <v>1T4</v>
      </c>
      <c r="M690" s="13" t="s">
        <v>1144</v>
      </c>
      <c r="N690" s="7" t="s">
        <v>3772</v>
      </c>
      <c r="O690" s="13" t="s">
        <v>1881</v>
      </c>
      <c r="P690" s="115" t="s">
        <v>1882</v>
      </c>
      <c r="Q690" s="8" t="s">
        <v>983</v>
      </c>
      <c r="R690" s="2">
        <v>1</v>
      </c>
      <c r="S690" s="9">
        <v>550</v>
      </c>
      <c r="T690" s="10">
        <f t="shared" si="95"/>
        <v>275</v>
      </c>
      <c r="U690" s="9">
        <v>0</v>
      </c>
      <c r="V690" s="10">
        <f t="shared" si="96"/>
        <v>275</v>
      </c>
      <c r="W690" s="4" t="s">
        <v>122</v>
      </c>
      <c r="X690" s="2"/>
      <c r="Y690" s="11">
        <v>2</v>
      </c>
      <c r="Z690" s="12">
        <f t="shared" si="98"/>
        <v>1</v>
      </c>
      <c r="AA690" s="4" t="s">
        <v>120</v>
      </c>
      <c r="AC690" s="176">
        <f t="shared" si="94"/>
        <v>0</v>
      </c>
      <c r="AD690"/>
    </row>
    <row r="691" spans="2:30">
      <c r="B691" s="183">
        <f t="shared" si="99"/>
        <v>21</v>
      </c>
      <c r="C691" s="107" t="str">
        <f t="shared" si="100"/>
        <v>ATK</v>
      </c>
      <c r="D691" s="2" t="s">
        <v>280</v>
      </c>
      <c r="E691" s="3">
        <v>43970</v>
      </c>
      <c r="F691" s="3">
        <v>43970</v>
      </c>
      <c r="G691" s="108">
        <f t="shared" si="101"/>
        <v>5</v>
      </c>
      <c r="H691" s="108" t="str">
        <f t="shared" si="102"/>
        <v>완료</v>
      </c>
      <c r="I691" s="112" t="s">
        <v>218</v>
      </c>
      <c r="J691" s="4" t="s">
        <v>281</v>
      </c>
      <c r="K691" s="5" t="s">
        <v>282</v>
      </c>
      <c r="L691" s="6" t="str">
        <f t="shared" si="97"/>
        <v>EE1</v>
      </c>
      <c r="M691" s="13" t="s">
        <v>1798</v>
      </c>
      <c r="N691" s="7" t="s">
        <v>3773</v>
      </c>
      <c r="O691" s="13" t="s">
        <v>225</v>
      </c>
      <c r="P691" s="115" t="s">
        <v>1883</v>
      </c>
      <c r="Q691" s="8"/>
      <c r="R691" s="2">
        <v>1</v>
      </c>
      <c r="S691" s="9">
        <v>6000</v>
      </c>
      <c r="T691" s="10">
        <f t="shared" si="95"/>
        <v>3000</v>
      </c>
      <c r="U691" s="9">
        <v>0</v>
      </c>
      <c r="V691" s="10">
        <f t="shared" si="96"/>
        <v>3000</v>
      </c>
      <c r="W691" s="4" t="s">
        <v>122</v>
      </c>
      <c r="X691" s="2"/>
      <c r="Y691" s="11">
        <v>5</v>
      </c>
      <c r="Z691" s="12">
        <f t="shared" si="98"/>
        <v>0</v>
      </c>
      <c r="AA691" s="4" t="s">
        <v>27</v>
      </c>
      <c r="AC691" s="176">
        <f t="shared" si="94"/>
        <v>0</v>
      </c>
      <c r="AD691"/>
    </row>
    <row r="692" spans="2:30">
      <c r="B692" s="183">
        <f t="shared" si="99"/>
        <v>21</v>
      </c>
      <c r="C692" s="107" t="str">
        <f t="shared" si="100"/>
        <v>ATK</v>
      </c>
      <c r="D692" s="2" t="s">
        <v>1884</v>
      </c>
      <c r="E692" s="3">
        <v>43970</v>
      </c>
      <c r="F692" s="3">
        <v>43970</v>
      </c>
      <c r="G692" s="108">
        <f t="shared" si="101"/>
        <v>5</v>
      </c>
      <c r="H692" s="108" t="str">
        <f t="shared" si="102"/>
        <v>Other</v>
      </c>
      <c r="I692" s="112" t="s">
        <v>660</v>
      </c>
      <c r="J692" s="4" t="s">
        <v>1885</v>
      </c>
      <c r="K692" s="5" t="s">
        <v>1886</v>
      </c>
      <c r="L692" s="6" t="str">
        <f t="shared" si="97"/>
        <v>2T3</v>
      </c>
      <c r="M692" s="13" t="s">
        <v>270</v>
      </c>
      <c r="N692" s="7" t="s">
        <v>3774</v>
      </c>
      <c r="O692" s="13" t="s">
        <v>1887</v>
      </c>
      <c r="P692" s="115" t="s">
        <v>1888</v>
      </c>
      <c r="Q692" s="8" t="s">
        <v>1901</v>
      </c>
      <c r="R692" s="2">
        <v>1</v>
      </c>
      <c r="S692" s="9">
        <v>600</v>
      </c>
      <c r="T692" s="10">
        <f t="shared" si="95"/>
        <v>300</v>
      </c>
      <c r="U692" s="9">
        <v>0</v>
      </c>
      <c r="V692" s="10">
        <f t="shared" si="96"/>
        <v>300</v>
      </c>
      <c r="W692" s="4" t="s">
        <v>1889</v>
      </c>
      <c r="X692" s="2"/>
      <c r="Y692" s="11">
        <v>1</v>
      </c>
      <c r="Z692" s="12">
        <f t="shared" si="98"/>
        <v>0</v>
      </c>
      <c r="AA692" s="4" t="s">
        <v>1890</v>
      </c>
      <c r="AC692" s="176">
        <f t="shared" si="94"/>
        <v>0</v>
      </c>
      <c r="AD692"/>
    </row>
    <row r="693" spans="2:30">
      <c r="B693" s="183">
        <f t="shared" si="99"/>
        <v>21</v>
      </c>
      <c r="C693" s="107" t="str">
        <f t="shared" si="100"/>
        <v>ATK</v>
      </c>
      <c r="D693" s="2" t="s">
        <v>498</v>
      </c>
      <c r="E693" s="3">
        <v>43969</v>
      </c>
      <c r="F693" s="3">
        <v>43970</v>
      </c>
      <c r="G693" s="108">
        <f t="shared" si="101"/>
        <v>5</v>
      </c>
      <c r="H693" s="108" t="str">
        <f t="shared" si="102"/>
        <v>완료</v>
      </c>
      <c r="I693" s="112" t="s">
        <v>218</v>
      </c>
      <c r="J693" s="4" t="s">
        <v>499</v>
      </c>
      <c r="K693" s="5" t="s">
        <v>499</v>
      </c>
      <c r="L693" s="6" t="str">
        <f t="shared" si="97"/>
        <v>QA</v>
      </c>
      <c r="M693" s="13" t="s">
        <v>1866</v>
      </c>
      <c r="N693" s="194" t="s">
        <v>3770</v>
      </c>
      <c r="O693" s="13" t="s">
        <v>1867</v>
      </c>
      <c r="P693" s="115" t="s">
        <v>1891</v>
      </c>
      <c r="Q693" s="8" t="s">
        <v>1869</v>
      </c>
      <c r="R693" s="2">
        <v>1</v>
      </c>
      <c r="S693" s="9">
        <v>4500</v>
      </c>
      <c r="T693" s="10">
        <f t="shared" si="95"/>
        <v>2250</v>
      </c>
      <c r="U693" s="9">
        <v>1</v>
      </c>
      <c r="V693" s="10">
        <f t="shared" si="96"/>
        <v>2249</v>
      </c>
      <c r="W693" s="4" t="s">
        <v>122</v>
      </c>
      <c r="X693" s="2"/>
      <c r="Y693" s="11">
        <v>2</v>
      </c>
      <c r="Z693" s="12">
        <f t="shared" si="98"/>
        <v>1</v>
      </c>
      <c r="AA693" s="4" t="s">
        <v>120</v>
      </c>
      <c r="AC693" s="176">
        <f t="shared" si="94"/>
        <v>9.0909090909090909E-4</v>
      </c>
      <c r="AD693"/>
    </row>
    <row r="694" spans="2:30">
      <c r="B694" s="183">
        <f t="shared" si="99"/>
        <v>22</v>
      </c>
      <c r="C694" s="107" t="str">
        <f t="shared" si="100"/>
        <v>ATK</v>
      </c>
      <c r="D694" s="2" t="s">
        <v>1306</v>
      </c>
      <c r="E694" s="3">
        <v>43970</v>
      </c>
      <c r="F694" s="3">
        <v>43976</v>
      </c>
      <c r="G694" s="108">
        <f t="shared" si="101"/>
        <v>5</v>
      </c>
      <c r="H694" s="108" t="str">
        <f t="shared" si="102"/>
        <v>완료</v>
      </c>
      <c r="I694" s="112" t="s">
        <v>218</v>
      </c>
      <c r="J694" s="4" t="s">
        <v>1090</v>
      </c>
      <c r="K694" s="5" t="s">
        <v>1788</v>
      </c>
      <c r="L694" s="6" t="str">
        <f t="shared" si="97"/>
        <v>5T1</v>
      </c>
      <c r="M694" s="13" t="s">
        <v>207</v>
      </c>
      <c r="N694" s="7" t="s">
        <v>3710</v>
      </c>
      <c r="O694" s="13" t="s">
        <v>1038</v>
      </c>
      <c r="P694" s="115" t="s">
        <v>1892</v>
      </c>
      <c r="Q694" s="8"/>
      <c r="R694" s="2">
        <v>1</v>
      </c>
      <c r="S694" s="9">
        <v>1200</v>
      </c>
      <c r="T694" s="10">
        <f t="shared" si="95"/>
        <v>600</v>
      </c>
      <c r="U694" s="9">
        <v>25</v>
      </c>
      <c r="V694" s="10">
        <f t="shared" si="96"/>
        <v>575</v>
      </c>
      <c r="W694" s="4" t="s">
        <v>857</v>
      </c>
      <c r="X694" s="2"/>
      <c r="Y694" s="11">
        <v>2</v>
      </c>
      <c r="Z694" s="12">
        <f t="shared" si="98"/>
        <v>6</v>
      </c>
      <c r="AA694" s="4" t="s">
        <v>862</v>
      </c>
      <c r="AC694" s="176">
        <f t="shared" si="94"/>
        <v>2.2727272727272728E-2</v>
      </c>
      <c r="AD694"/>
    </row>
    <row r="695" spans="2:30">
      <c r="B695" s="183">
        <f t="shared" si="99"/>
        <v>21</v>
      </c>
      <c r="C695" s="107" t="str">
        <f t="shared" si="100"/>
        <v>ATK</v>
      </c>
      <c r="D695" s="2" t="s">
        <v>1893</v>
      </c>
      <c r="E695" s="3">
        <v>43970</v>
      </c>
      <c r="F695" s="3">
        <v>43970</v>
      </c>
      <c r="G695" s="108">
        <f t="shared" si="101"/>
        <v>5</v>
      </c>
      <c r="H695" s="108" t="str">
        <f t="shared" si="102"/>
        <v>완료</v>
      </c>
      <c r="I695" s="112" t="s">
        <v>218</v>
      </c>
      <c r="J695" s="4" t="s">
        <v>132</v>
      </c>
      <c r="K695" s="5" t="s">
        <v>322</v>
      </c>
      <c r="L695" s="6" t="str">
        <f t="shared" si="97"/>
        <v>3T1</v>
      </c>
      <c r="M695" s="13" t="s">
        <v>1894</v>
      </c>
      <c r="N695" s="7" t="s">
        <v>3775</v>
      </c>
      <c r="O695" s="13" t="s">
        <v>1895</v>
      </c>
      <c r="P695" s="115" t="s">
        <v>1896</v>
      </c>
      <c r="Q695" s="8"/>
      <c r="R695" s="2">
        <v>1</v>
      </c>
      <c r="S695" s="9">
        <v>1000</v>
      </c>
      <c r="T695" s="10">
        <f t="shared" si="95"/>
        <v>500</v>
      </c>
      <c r="U695" s="9">
        <v>10</v>
      </c>
      <c r="V695" s="10">
        <f t="shared" si="96"/>
        <v>490</v>
      </c>
      <c r="W695" s="4" t="s">
        <v>122</v>
      </c>
      <c r="X695" s="2"/>
      <c r="Y695" s="11">
        <v>4</v>
      </c>
      <c r="Z695" s="12">
        <f t="shared" si="98"/>
        <v>0</v>
      </c>
      <c r="AA695" s="4" t="s">
        <v>212</v>
      </c>
      <c r="AC695" s="176">
        <f t="shared" si="94"/>
        <v>9.0909090909090905E-3</v>
      </c>
      <c r="AD695"/>
    </row>
    <row r="696" spans="2:30">
      <c r="B696" s="183">
        <f t="shared" si="99"/>
        <v>21</v>
      </c>
      <c r="C696" s="107" t="str">
        <f t="shared" si="100"/>
        <v>ATK</v>
      </c>
      <c r="D696" s="2" t="s">
        <v>1897</v>
      </c>
      <c r="E696" s="3">
        <v>43970</v>
      </c>
      <c r="F696" s="3">
        <v>43970</v>
      </c>
      <c r="G696" s="108">
        <f t="shared" si="101"/>
        <v>5</v>
      </c>
      <c r="H696" s="108" t="str">
        <f t="shared" si="102"/>
        <v>완료</v>
      </c>
      <c r="I696" s="112" t="s">
        <v>218</v>
      </c>
      <c r="J696" s="4" t="s">
        <v>115</v>
      </c>
      <c r="K696" s="5" t="s">
        <v>138</v>
      </c>
      <c r="L696" s="6" t="str">
        <f t="shared" si="97"/>
        <v>EE1</v>
      </c>
      <c r="M696" s="13"/>
      <c r="N696" s="7" t="s">
        <v>3574</v>
      </c>
      <c r="O696" s="13" t="s">
        <v>284</v>
      </c>
      <c r="P696" s="115" t="s">
        <v>1898</v>
      </c>
      <c r="Q696" s="8"/>
      <c r="R696" s="2">
        <v>1</v>
      </c>
      <c r="S696" s="9">
        <v>1200</v>
      </c>
      <c r="T696" s="10">
        <f t="shared" si="95"/>
        <v>600</v>
      </c>
      <c r="U696" s="9"/>
      <c r="V696" s="10">
        <f t="shared" si="96"/>
        <v>600</v>
      </c>
      <c r="W696" s="4" t="s">
        <v>1940</v>
      </c>
      <c r="X696" s="2"/>
      <c r="Y696" s="11">
        <v>3</v>
      </c>
      <c r="Z696" s="12">
        <f t="shared" si="98"/>
        <v>0</v>
      </c>
      <c r="AA696" s="4" t="s">
        <v>259</v>
      </c>
      <c r="AC696" s="176">
        <f t="shared" si="94"/>
        <v>0</v>
      </c>
      <c r="AD696"/>
    </row>
    <row r="697" spans="2:30">
      <c r="B697" s="183">
        <f t="shared" si="99"/>
        <v>21</v>
      </c>
      <c r="C697" s="107" t="str">
        <f t="shared" si="100"/>
        <v>ATK</v>
      </c>
      <c r="D697" s="2" t="s">
        <v>262</v>
      </c>
      <c r="E697" s="3">
        <v>43970</v>
      </c>
      <c r="F697" s="3">
        <v>43970</v>
      </c>
      <c r="G697" s="108">
        <f t="shared" si="101"/>
        <v>5</v>
      </c>
      <c r="H697" s="108" t="str">
        <f t="shared" si="102"/>
        <v>완료</v>
      </c>
      <c r="I697" s="112" t="s">
        <v>218</v>
      </c>
      <c r="J697" s="4" t="s">
        <v>281</v>
      </c>
      <c r="K697" s="5" t="s">
        <v>332</v>
      </c>
      <c r="L697" s="6" t="str">
        <f t="shared" si="97"/>
        <v>EE2</v>
      </c>
      <c r="M697" s="13" t="s">
        <v>1899</v>
      </c>
      <c r="N697" s="7" t="s">
        <v>3776</v>
      </c>
      <c r="O697" s="13" t="s">
        <v>1700</v>
      </c>
      <c r="P697" s="115" t="s">
        <v>1900</v>
      </c>
      <c r="Q697" s="8"/>
      <c r="R697" s="2">
        <v>1</v>
      </c>
      <c r="S697" s="9">
        <v>1000</v>
      </c>
      <c r="T697" s="10">
        <f t="shared" si="95"/>
        <v>500</v>
      </c>
      <c r="U697" s="9">
        <v>5</v>
      </c>
      <c r="V697" s="10">
        <f t="shared" si="96"/>
        <v>495</v>
      </c>
      <c r="W697" s="4" t="s">
        <v>122</v>
      </c>
      <c r="X697" s="2"/>
      <c r="Y697" s="11">
        <v>3</v>
      </c>
      <c r="Z697" s="12">
        <f t="shared" si="98"/>
        <v>0</v>
      </c>
      <c r="AA697" s="4" t="s">
        <v>27</v>
      </c>
      <c r="AC697" s="176">
        <f t="shared" ref="AC697:AC758" si="103">U697/1100</f>
        <v>4.5454545454545452E-3</v>
      </c>
      <c r="AD697"/>
    </row>
    <row r="698" spans="2:30">
      <c r="B698" s="183">
        <f t="shared" si="99"/>
        <v>21</v>
      </c>
      <c r="C698" s="107" t="str">
        <f t="shared" si="100"/>
        <v>ATK</v>
      </c>
      <c r="D698" s="2" t="s">
        <v>379</v>
      </c>
      <c r="E698" s="3">
        <v>43969</v>
      </c>
      <c r="F698" s="3">
        <v>43970</v>
      </c>
      <c r="G698" s="108">
        <f t="shared" si="101"/>
        <v>5</v>
      </c>
      <c r="H698" s="108" t="str">
        <f t="shared" si="102"/>
        <v>완료</v>
      </c>
      <c r="I698" s="112" t="s">
        <v>218</v>
      </c>
      <c r="J698" s="4" t="s">
        <v>132</v>
      </c>
      <c r="K698" s="5" t="s">
        <v>322</v>
      </c>
      <c r="L698" s="6" t="str">
        <f t="shared" si="97"/>
        <v>3T1</v>
      </c>
      <c r="M698" s="13" t="s">
        <v>946</v>
      </c>
      <c r="N698" s="7" t="s">
        <v>3777</v>
      </c>
      <c r="O698" s="13" t="s">
        <v>1902</v>
      </c>
      <c r="P698" s="115" t="s">
        <v>1903</v>
      </c>
      <c r="Q698" s="8"/>
      <c r="R698" s="2">
        <v>1</v>
      </c>
      <c r="S698" s="9">
        <v>600</v>
      </c>
      <c r="T698" s="10">
        <f t="shared" si="95"/>
        <v>300</v>
      </c>
      <c r="U698" s="9">
        <v>5</v>
      </c>
      <c r="V698" s="10">
        <f t="shared" si="96"/>
        <v>295</v>
      </c>
      <c r="W698" s="4" t="s">
        <v>122</v>
      </c>
      <c r="X698" s="2"/>
      <c r="Y698" s="11">
        <v>2</v>
      </c>
      <c r="Z698" s="12">
        <f t="shared" si="98"/>
        <v>1</v>
      </c>
      <c r="AA698" s="4" t="s">
        <v>27</v>
      </c>
      <c r="AC698" s="176">
        <f t="shared" si="103"/>
        <v>4.5454545454545452E-3</v>
      </c>
      <c r="AD698"/>
    </row>
    <row r="699" spans="2:30">
      <c r="B699" s="183">
        <f t="shared" si="99"/>
        <v>21</v>
      </c>
      <c r="C699" s="107" t="str">
        <f t="shared" si="100"/>
        <v>ATK</v>
      </c>
      <c r="D699" s="2" t="s">
        <v>541</v>
      </c>
      <c r="E699" s="3">
        <v>43970</v>
      </c>
      <c r="F699" s="3">
        <v>43970</v>
      </c>
      <c r="G699" s="108">
        <f t="shared" si="101"/>
        <v>5</v>
      </c>
      <c r="H699" s="108" t="str">
        <f t="shared" si="102"/>
        <v>완료</v>
      </c>
      <c r="I699" s="112" t="s">
        <v>218</v>
      </c>
      <c r="J699" s="4" t="s">
        <v>132</v>
      </c>
      <c r="K699" s="5" t="s">
        <v>322</v>
      </c>
      <c r="L699" s="6" t="str">
        <f t="shared" si="97"/>
        <v>3T1</v>
      </c>
      <c r="M699" s="13" t="s">
        <v>226</v>
      </c>
      <c r="N699" s="7" t="s">
        <v>3778</v>
      </c>
      <c r="O699" s="13" t="s">
        <v>1904</v>
      </c>
      <c r="P699" s="115" t="s">
        <v>1851</v>
      </c>
      <c r="Q699" s="8"/>
      <c r="R699" s="2">
        <v>1</v>
      </c>
      <c r="S699" s="9">
        <v>1000</v>
      </c>
      <c r="T699" s="10">
        <f t="shared" si="95"/>
        <v>500</v>
      </c>
      <c r="U699" s="9">
        <v>0</v>
      </c>
      <c r="V699" s="10">
        <f t="shared" si="96"/>
        <v>500</v>
      </c>
      <c r="W699" s="4" t="s">
        <v>122</v>
      </c>
      <c r="X699" s="2"/>
      <c r="Y699" s="11">
        <v>2</v>
      </c>
      <c r="Z699" s="12">
        <f t="shared" si="98"/>
        <v>0</v>
      </c>
      <c r="AA699" s="4" t="s">
        <v>27</v>
      </c>
      <c r="AC699" s="176">
        <f t="shared" si="103"/>
        <v>0</v>
      </c>
      <c r="AD699"/>
    </row>
    <row r="700" spans="2:30">
      <c r="B700" s="183">
        <f t="shared" si="99"/>
        <v>21</v>
      </c>
      <c r="C700" s="107" t="str">
        <f t="shared" si="100"/>
        <v>ATK</v>
      </c>
      <c r="D700" s="2" t="s">
        <v>302</v>
      </c>
      <c r="E700" s="3">
        <v>43970</v>
      </c>
      <c r="F700" s="3">
        <v>43970</v>
      </c>
      <c r="G700" s="108">
        <f t="shared" si="101"/>
        <v>5</v>
      </c>
      <c r="H700" s="108" t="str">
        <f t="shared" si="102"/>
        <v>완료</v>
      </c>
      <c r="I700" s="112" t="s">
        <v>218</v>
      </c>
      <c r="J700" s="4" t="s">
        <v>173</v>
      </c>
      <c r="K700" s="5" t="s">
        <v>128</v>
      </c>
      <c r="L700" s="6" t="str">
        <f t="shared" si="97"/>
        <v>1T1</v>
      </c>
      <c r="M700" s="13"/>
      <c r="N700" s="7" t="s">
        <v>3739</v>
      </c>
      <c r="O700" s="13" t="s">
        <v>1905</v>
      </c>
      <c r="P700" s="115"/>
      <c r="Q700" s="8"/>
      <c r="R700" s="2">
        <v>1</v>
      </c>
      <c r="S700" s="9">
        <v>600</v>
      </c>
      <c r="T700" s="10">
        <f t="shared" si="95"/>
        <v>300</v>
      </c>
      <c r="U700" s="9">
        <v>0</v>
      </c>
      <c r="V700" s="10">
        <f t="shared" si="96"/>
        <v>300</v>
      </c>
      <c r="W700" s="4" t="s">
        <v>122</v>
      </c>
      <c r="X700" s="2"/>
      <c r="Y700" s="11">
        <v>5</v>
      </c>
      <c r="Z700" s="12">
        <f t="shared" si="98"/>
        <v>0</v>
      </c>
      <c r="AA700" s="4" t="s">
        <v>117</v>
      </c>
      <c r="AC700" s="176">
        <f t="shared" si="103"/>
        <v>0</v>
      </c>
      <c r="AD700"/>
    </row>
    <row r="701" spans="2:30">
      <c r="B701" s="183">
        <f t="shared" si="99"/>
        <v>21</v>
      </c>
      <c r="C701" s="107" t="str">
        <f t="shared" si="100"/>
        <v>ATK</v>
      </c>
      <c r="D701" s="2" t="s">
        <v>1923</v>
      </c>
      <c r="E701" s="3">
        <v>43970</v>
      </c>
      <c r="F701" s="3">
        <v>43970</v>
      </c>
      <c r="G701" s="108">
        <f t="shared" si="101"/>
        <v>5</v>
      </c>
      <c r="H701" s="108" t="str">
        <f t="shared" si="102"/>
        <v>Other</v>
      </c>
      <c r="I701" s="112" t="s">
        <v>1906</v>
      </c>
      <c r="J701" s="4" t="s">
        <v>1907</v>
      </c>
      <c r="K701" s="5" t="s">
        <v>1907</v>
      </c>
      <c r="L701" s="6" t="str">
        <f t="shared" si="97"/>
        <v>QA</v>
      </c>
      <c r="M701" s="13" t="s">
        <v>270</v>
      </c>
      <c r="N701" s="7" t="s">
        <v>3667</v>
      </c>
      <c r="O701" s="13" t="s">
        <v>270</v>
      </c>
      <c r="P701" s="115" t="s">
        <v>1909</v>
      </c>
      <c r="Q701" s="8" t="s">
        <v>1908</v>
      </c>
      <c r="R701" s="2">
        <v>1</v>
      </c>
      <c r="S701" s="9">
        <v>910</v>
      </c>
      <c r="T701" s="10">
        <f t="shared" ref="T701:T751" si="104">(S701*50)/100*R701</f>
        <v>455</v>
      </c>
      <c r="U701" s="9">
        <v>0</v>
      </c>
      <c r="V701" s="10">
        <f t="shared" ref="V701:V751" si="105">T701-U701</f>
        <v>455</v>
      </c>
      <c r="W701" s="4" t="s">
        <v>1910</v>
      </c>
      <c r="X701" s="2"/>
      <c r="Y701" s="11">
        <v>1</v>
      </c>
      <c r="Z701" s="12">
        <f t="shared" si="98"/>
        <v>0</v>
      </c>
      <c r="AA701" s="4" t="s">
        <v>1911</v>
      </c>
      <c r="AC701" s="176">
        <f t="shared" si="103"/>
        <v>0</v>
      </c>
      <c r="AD701"/>
    </row>
    <row r="702" spans="2:30">
      <c r="B702" s="183">
        <f t="shared" si="99"/>
        <v>21</v>
      </c>
      <c r="C702" s="107" t="str">
        <f t="shared" si="100"/>
        <v>ATK</v>
      </c>
      <c r="D702" s="2" t="s">
        <v>1923</v>
      </c>
      <c r="E702" s="3">
        <v>43970</v>
      </c>
      <c r="F702" s="3">
        <v>43970</v>
      </c>
      <c r="G702" s="108">
        <f t="shared" si="101"/>
        <v>5</v>
      </c>
      <c r="H702" s="108" t="str">
        <f t="shared" si="102"/>
        <v>Other</v>
      </c>
      <c r="I702" s="112" t="s">
        <v>1906</v>
      </c>
      <c r="J702" s="4" t="s">
        <v>1907</v>
      </c>
      <c r="K702" s="5" t="s">
        <v>1907</v>
      </c>
      <c r="L702" s="6" t="str">
        <f t="shared" si="97"/>
        <v>QA</v>
      </c>
      <c r="M702" s="13" t="s">
        <v>270</v>
      </c>
      <c r="N702" s="7" t="s">
        <v>3598</v>
      </c>
      <c r="O702" s="13" t="s">
        <v>1912</v>
      </c>
      <c r="P702" s="115" t="s">
        <v>1913</v>
      </c>
      <c r="Q702" s="8" t="s">
        <v>1914</v>
      </c>
      <c r="R702" s="2">
        <v>1</v>
      </c>
      <c r="S702" s="9">
        <v>1500</v>
      </c>
      <c r="T702" s="10">
        <f t="shared" si="104"/>
        <v>750</v>
      </c>
      <c r="U702" s="9">
        <v>0</v>
      </c>
      <c r="V702" s="10">
        <f t="shared" si="105"/>
        <v>750</v>
      </c>
      <c r="W702" s="4" t="s">
        <v>1910</v>
      </c>
      <c r="X702" s="2"/>
      <c r="Y702" s="11">
        <v>1</v>
      </c>
      <c r="Z702" s="12">
        <f t="shared" si="98"/>
        <v>0</v>
      </c>
      <c r="AA702" s="4" t="s">
        <v>1911</v>
      </c>
      <c r="AC702" s="176">
        <f t="shared" si="103"/>
        <v>0</v>
      </c>
      <c r="AD702"/>
    </row>
    <row r="703" spans="2:30">
      <c r="B703" s="183">
        <f t="shared" si="99"/>
        <v>21</v>
      </c>
      <c r="C703" s="107" t="str">
        <f t="shared" si="100"/>
        <v>ATK</v>
      </c>
      <c r="D703" s="2" t="s">
        <v>1915</v>
      </c>
      <c r="E703" s="3">
        <v>43970</v>
      </c>
      <c r="F703" s="3">
        <v>43971</v>
      </c>
      <c r="G703" s="108">
        <f t="shared" si="101"/>
        <v>5</v>
      </c>
      <c r="H703" s="108" t="str">
        <f t="shared" si="102"/>
        <v>완료</v>
      </c>
      <c r="I703" s="112" t="s">
        <v>218</v>
      </c>
      <c r="J703" s="4" t="s">
        <v>132</v>
      </c>
      <c r="K703" s="5" t="s">
        <v>322</v>
      </c>
      <c r="L703" s="6" t="str">
        <f t="shared" si="97"/>
        <v>3T1</v>
      </c>
      <c r="M703" s="13" t="s">
        <v>1916</v>
      </c>
      <c r="N703" s="7" t="s">
        <v>3779</v>
      </c>
      <c r="O703" s="7" t="s">
        <v>1917</v>
      </c>
      <c r="P703" s="115" t="s">
        <v>1918</v>
      </c>
      <c r="Q703" s="8"/>
      <c r="R703" s="2">
        <v>1</v>
      </c>
      <c r="S703" s="9">
        <v>50</v>
      </c>
      <c r="T703" s="10">
        <f t="shared" si="104"/>
        <v>25</v>
      </c>
      <c r="U703" s="9"/>
      <c r="V703" s="10">
        <f t="shared" si="105"/>
        <v>25</v>
      </c>
      <c r="W703" s="4" t="s">
        <v>122</v>
      </c>
      <c r="X703" s="2"/>
      <c r="Y703" s="11">
        <v>3</v>
      </c>
      <c r="Z703" s="12">
        <f t="shared" si="98"/>
        <v>1</v>
      </c>
      <c r="AA703" s="4" t="s">
        <v>212</v>
      </c>
      <c r="AC703" s="176">
        <f t="shared" si="103"/>
        <v>0</v>
      </c>
      <c r="AD703"/>
    </row>
    <row r="704" spans="2:30">
      <c r="B704" s="183">
        <f t="shared" si="99"/>
        <v>21</v>
      </c>
      <c r="C704" s="107" t="str">
        <f t="shared" si="100"/>
        <v>ATK</v>
      </c>
      <c r="D704" s="2" t="s">
        <v>1919</v>
      </c>
      <c r="E704" s="3">
        <v>43970</v>
      </c>
      <c r="F704" s="3">
        <v>43970</v>
      </c>
      <c r="G704" s="108">
        <f t="shared" si="101"/>
        <v>5</v>
      </c>
      <c r="H704" s="108" t="str">
        <f t="shared" si="102"/>
        <v>완료</v>
      </c>
      <c r="I704" s="112" t="s">
        <v>218</v>
      </c>
      <c r="J704" s="4" t="s">
        <v>132</v>
      </c>
      <c r="K704" s="5" t="s">
        <v>322</v>
      </c>
      <c r="L704" s="6" t="str">
        <f t="shared" si="97"/>
        <v>3T1</v>
      </c>
      <c r="M704" s="13" t="s">
        <v>1920</v>
      </c>
      <c r="N704" s="7" t="s">
        <v>3780</v>
      </c>
      <c r="O704" s="13" t="s">
        <v>1921</v>
      </c>
      <c r="P704" s="115" t="s">
        <v>1922</v>
      </c>
      <c r="Q704" s="8"/>
      <c r="R704" s="2">
        <v>1</v>
      </c>
      <c r="S704" s="9">
        <v>700</v>
      </c>
      <c r="T704" s="10">
        <f t="shared" si="104"/>
        <v>350</v>
      </c>
      <c r="U704" s="9"/>
      <c r="V704" s="10">
        <f t="shared" si="105"/>
        <v>350</v>
      </c>
      <c r="W704" s="4" t="s">
        <v>122</v>
      </c>
      <c r="X704" s="2"/>
      <c r="Y704" s="11">
        <v>2</v>
      </c>
      <c r="Z704" s="12">
        <f t="shared" si="98"/>
        <v>0</v>
      </c>
      <c r="AA704" s="4" t="s">
        <v>212</v>
      </c>
      <c r="AC704" s="176">
        <f t="shared" si="103"/>
        <v>0</v>
      </c>
      <c r="AD704"/>
    </row>
    <row r="705" spans="2:30">
      <c r="B705" s="183">
        <f t="shared" si="99"/>
        <v>21</v>
      </c>
      <c r="C705" s="107" t="str">
        <f t="shared" si="100"/>
        <v>ATK</v>
      </c>
      <c r="D705" s="2" t="s">
        <v>1924</v>
      </c>
      <c r="E705" s="3">
        <v>43970</v>
      </c>
      <c r="F705" s="3">
        <v>43970</v>
      </c>
      <c r="G705" s="108">
        <f t="shared" si="101"/>
        <v>5</v>
      </c>
      <c r="H705" s="108" t="str">
        <f t="shared" si="102"/>
        <v>완료</v>
      </c>
      <c r="I705" s="112" t="s">
        <v>1925</v>
      </c>
      <c r="J705" s="4" t="s">
        <v>1926</v>
      </c>
      <c r="K705" s="5" t="s">
        <v>131</v>
      </c>
      <c r="L705" s="6" t="str">
        <f t="shared" si="97"/>
        <v>1T4</v>
      </c>
      <c r="M705" s="13" t="s">
        <v>1927</v>
      </c>
      <c r="N705" s="7" t="s">
        <v>3768</v>
      </c>
      <c r="O705" s="13" t="s">
        <v>1928</v>
      </c>
      <c r="P705" s="115" t="s">
        <v>1929</v>
      </c>
      <c r="Q705" s="8"/>
      <c r="R705" s="2">
        <v>1</v>
      </c>
      <c r="S705" s="9">
        <v>400</v>
      </c>
      <c r="T705" s="10">
        <f t="shared" si="104"/>
        <v>200</v>
      </c>
      <c r="U705" s="9">
        <v>0</v>
      </c>
      <c r="V705" s="10">
        <f t="shared" si="105"/>
        <v>200</v>
      </c>
      <c r="W705" s="4" t="s">
        <v>1930</v>
      </c>
      <c r="X705" s="2"/>
      <c r="Y705" s="11">
        <v>1</v>
      </c>
      <c r="Z705" s="12">
        <f t="shared" si="98"/>
        <v>0</v>
      </c>
      <c r="AA705" s="4" t="s">
        <v>1931</v>
      </c>
      <c r="AC705" s="176">
        <f t="shared" si="103"/>
        <v>0</v>
      </c>
      <c r="AD705"/>
    </row>
    <row r="706" spans="2:30">
      <c r="B706" s="183">
        <f t="shared" si="99"/>
        <v>21</v>
      </c>
      <c r="C706" s="107" t="str">
        <f t="shared" si="100"/>
        <v>ATK</v>
      </c>
      <c r="D706" s="2" t="s">
        <v>1932</v>
      </c>
      <c r="E706" s="3">
        <v>43970</v>
      </c>
      <c r="F706" s="3">
        <v>43971</v>
      </c>
      <c r="G706" s="108">
        <f t="shared" si="101"/>
        <v>5</v>
      </c>
      <c r="H706" s="108" t="str">
        <f t="shared" si="102"/>
        <v>완료</v>
      </c>
      <c r="I706" s="112" t="s">
        <v>218</v>
      </c>
      <c r="J706" s="4" t="s">
        <v>118</v>
      </c>
      <c r="K706" s="5" t="s">
        <v>119</v>
      </c>
      <c r="L706" s="6" t="str">
        <f t="shared" ref="L706:L769" si="106">LEFT(K706,3)</f>
        <v>2T3</v>
      </c>
      <c r="M706" s="13" t="s">
        <v>1933</v>
      </c>
      <c r="N706" s="7" t="s">
        <v>3478</v>
      </c>
      <c r="O706" s="13" t="s">
        <v>1440</v>
      </c>
      <c r="P706" s="115" t="s">
        <v>1934</v>
      </c>
      <c r="Q706" s="8"/>
      <c r="R706" s="2">
        <v>1</v>
      </c>
      <c r="S706" s="9">
        <v>3000</v>
      </c>
      <c r="T706" s="10">
        <f t="shared" si="104"/>
        <v>1500</v>
      </c>
      <c r="U706" s="9">
        <v>3</v>
      </c>
      <c r="V706" s="10">
        <f t="shared" si="105"/>
        <v>1497</v>
      </c>
      <c r="W706" s="4" t="s">
        <v>122</v>
      </c>
      <c r="X706" s="2"/>
      <c r="Y706" s="11">
        <v>4</v>
      </c>
      <c r="Z706" s="12">
        <f t="shared" ref="Z706:Z769" si="107">F706-E706</f>
        <v>1</v>
      </c>
      <c r="AA706" s="4" t="s">
        <v>117</v>
      </c>
      <c r="AC706" s="176">
        <f t="shared" si="103"/>
        <v>2.7272727272727275E-3</v>
      </c>
      <c r="AD706"/>
    </row>
    <row r="707" spans="2:30">
      <c r="B707" s="183">
        <f t="shared" ref="B707:B770" si="108">IF(F707&gt;0,IFERROR(WEEKNUM(F707),""),"")</f>
        <v>22</v>
      </c>
      <c r="C707" s="107" t="str">
        <f t="shared" ref="C707:C770" si="109">IF(D707=0,"",(IF(LEFT(D707,3)="ATK","ATK",IF(LEFT(D707,2)="AT",D707,"ATK"))))</f>
        <v>ATK</v>
      </c>
      <c r="D707" s="2" t="s">
        <v>1935</v>
      </c>
      <c r="E707" s="3">
        <v>43936</v>
      </c>
      <c r="F707" s="3">
        <v>43976</v>
      </c>
      <c r="G707" s="108">
        <f t="shared" ref="G707:G770" si="110">IF(F707&gt;0,MONTH(F707),"")</f>
        <v>5</v>
      </c>
      <c r="H707" s="108" t="str">
        <f t="shared" ref="H707:H770" si="111">IF(I707=0,"",IF(RIGHT(I707,2)="완료","완료",IF(RIGHT(I707,2)="불가","수리불가",IF(RIGHT(I707,1)="중","수리중","Other"))))</f>
        <v>완료</v>
      </c>
      <c r="I707" s="112" t="s">
        <v>218</v>
      </c>
      <c r="J707" s="4" t="s">
        <v>1936</v>
      </c>
      <c r="K707" s="5" t="s">
        <v>695</v>
      </c>
      <c r="L707" s="6" t="str">
        <f t="shared" si="106"/>
        <v>2T2</v>
      </c>
      <c r="M707" s="13" t="s">
        <v>565</v>
      </c>
      <c r="N707" s="7" t="s">
        <v>3768</v>
      </c>
      <c r="O707" s="13" t="s">
        <v>565</v>
      </c>
      <c r="P707" s="115" t="s">
        <v>1937</v>
      </c>
      <c r="Q707" s="8"/>
      <c r="R707" s="2">
        <v>1</v>
      </c>
      <c r="S707" s="9">
        <v>400</v>
      </c>
      <c r="T707" s="10">
        <f t="shared" si="104"/>
        <v>200</v>
      </c>
      <c r="U707" s="9">
        <v>25</v>
      </c>
      <c r="V707" s="10">
        <f t="shared" si="105"/>
        <v>175</v>
      </c>
      <c r="W707" s="4" t="s">
        <v>1938</v>
      </c>
      <c r="X707" s="2"/>
      <c r="Y707" s="11">
        <v>2</v>
      </c>
      <c r="Z707" s="12">
        <f t="shared" si="107"/>
        <v>40</v>
      </c>
      <c r="AA707" s="4" t="s">
        <v>1939</v>
      </c>
      <c r="AC707" s="176">
        <f t="shared" si="103"/>
        <v>2.2727272727272728E-2</v>
      </c>
      <c r="AD707"/>
    </row>
    <row r="708" spans="2:30">
      <c r="B708" s="183">
        <f t="shared" si="108"/>
        <v>21</v>
      </c>
      <c r="C708" s="107" t="str">
        <f t="shared" si="109"/>
        <v>ATK</v>
      </c>
      <c r="D708" s="2" t="s">
        <v>1316</v>
      </c>
      <c r="E708" s="3">
        <v>43971</v>
      </c>
      <c r="F708" s="3">
        <v>43971</v>
      </c>
      <c r="G708" s="108">
        <f t="shared" si="110"/>
        <v>5</v>
      </c>
      <c r="H708" s="108" t="str">
        <f t="shared" si="111"/>
        <v>완료</v>
      </c>
      <c r="I708" s="112" t="s">
        <v>218</v>
      </c>
      <c r="J708" s="4" t="s">
        <v>115</v>
      </c>
      <c r="K708" s="5" t="s">
        <v>116</v>
      </c>
      <c r="L708" s="6" t="str">
        <f t="shared" si="106"/>
        <v>EE2</v>
      </c>
      <c r="M708" s="13" t="s">
        <v>226</v>
      </c>
      <c r="N708" s="7" t="s">
        <v>3546</v>
      </c>
      <c r="O708" s="13" t="s">
        <v>1032</v>
      </c>
      <c r="P708" s="115"/>
      <c r="Q708" s="8"/>
      <c r="R708" s="2">
        <v>1</v>
      </c>
      <c r="S708" s="9">
        <v>400</v>
      </c>
      <c r="T708" s="10">
        <f t="shared" si="104"/>
        <v>200</v>
      </c>
      <c r="U708" s="9">
        <v>6</v>
      </c>
      <c r="V708" s="10">
        <f t="shared" si="105"/>
        <v>194</v>
      </c>
      <c r="W708" s="4" t="s">
        <v>122</v>
      </c>
      <c r="X708" s="2"/>
      <c r="Y708" s="11">
        <v>1</v>
      </c>
      <c r="Z708" s="12">
        <f t="shared" si="107"/>
        <v>0</v>
      </c>
      <c r="AA708" s="4" t="s">
        <v>117</v>
      </c>
      <c r="AC708" s="176">
        <f t="shared" si="103"/>
        <v>5.454545454545455E-3</v>
      </c>
      <c r="AD708"/>
    </row>
    <row r="709" spans="2:30">
      <c r="B709" s="183">
        <f t="shared" si="108"/>
        <v>21</v>
      </c>
      <c r="C709" s="107" t="str">
        <f t="shared" si="109"/>
        <v>ATK</v>
      </c>
      <c r="D709" s="2" t="s">
        <v>617</v>
      </c>
      <c r="E709" s="3">
        <v>43971</v>
      </c>
      <c r="F709" s="3">
        <v>43971</v>
      </c>
      <c r="G709" s="108">
        <f t="shared" si="110"/>
        <v>5</v>
      </c>
      <c r="H709" s="108" t="str">
        <f t="shared" si="111"/>
        <v>완료</v>
      </c>
      <c r="I709" s="112" t="s">
        <v>218</v>
      </c>
      <c r="J709" s="4" t="s">
        <v>281</v>
      </c>
      <c r="K709" s="5" t="s">
        <v>332</v>
      </c>
      <c r="L709" s="6" t="str">
        <f t="shared" si="106"/>
        <v>EE2</v>
      </c>
      <c r="M709" s="13" t="s">
        <v>256</v>
      </c>
      <c r="N709" s="7" t="s">
        <v>3529</v>
      </c>
      <c r="O709" s="13" t="s">
        <v>1584</v>
      </c>
      <c r="P709" s="115" t="s">
        <v>1941</v>
      </c>
      <c r="Q709" s="8"/>
      <c r="R709" s="2">
        <v>1</v>
      </c>
      <c r="S709" s="9">
        <v>3500</v>
      </c>
      <c r="T709" s="10">
        <f t="shared" si="104"/>
        <v>1750</v>
      </c>
      <c r="U709" s="9">
        <v>50</v>
      </c>
      <c r="V709" s="10">
        <f t="shared" si="105"/>
        <v>1700</v>
      </c>
      <c r="W709" s="4" t="s">
        <v>122</v>
      </c>
      <c r="X709" s="2"/>
      <c r="Y709" s="11">
        <v>2</v>
      </c>
      <c r="Z709" s="12">
        <f t="shared" si="107"/>
        <v>0</v>
      </c>
      <c r="AA709" s="4" t="s">
        <v>27</v>
      </c>
      <c r="AC709" s="176">
        <f t="shared" si="103"/>
        <v>4.5454545454545456E-2</v>
      </c>
      <c r="AD709"/>
    </row>
    <row r="710" spans="2:30">
      <c r="B710" s="183">
        <f t="shared" si="108"/>
        <v>21</v>
      </c>
      <c r="C710" s="107" t="str">
        <f t="shared" si="109"/>
        <v>ATK</v>
      </c>
      <c r="D710" s="2" t="s">
        <v>1942</v>
      </c>
      <c r="E710" s="3">
        <v>43971</v>
      </c>
      <c r="F710" s="3">
        <v>43971</v>
      </c>
      <c r="G710" s="108">
        <f t="shared" si="110"/>
        <v>5</v>
      </c>
      <c r="H710" s="108" t="str">
        <f t="shared" si="111"/>
        <v>완료</v>
      </c>
      <c r="I710" s="112" t="s">
        <v>218</v>
      </c>
      <c r="J710" s="4" t="s">
        <v>115</v>
      </c>
      <c r="K710" s="5" t="s">
        <v>138</v>
      </c>
      <c r="L710" s="6" t="str">
        <f t="shared" si="106"/>
        <v>EE1</v>
      </c>
      <c r="M710" s="13" t="s">
        <v>1894</v>
      </c>
      <c r="N710" s="7"/>
      <c r="O710" s="13" t="s">
        <v>1800</v>
      </c>
      <c r="P710" s="115" t="s">
        <v>1943</v>
      </c>
      <c r="Q710" s="8"/>
      <c r="R710" s="2">
        <v>2</v>
      </c>
      <c r="S710" s="9">
        <v>2000</v>
      </c>
      <c r="T710" s="10">
        <f t="shared" si="104"/>
        <v>2000</v>
      </c>
      <c r="U710" s="9"/>
      <c r="V710" s="10">
        <f t="shared" si="105"/>
        <v>2000</v>
      </c>
      <c r="W710" s="4" t="s">
        <v>122</v>
      </c>
      <c r="X710" s="2"/>
      <c r="Y710" s="11">
        <v>5</v>
      </c>
      <c r="Z710" s="12">
        <f t="shared" si="107"/>
        <v>0</v>
      </c>
      <c r="AA710" s="4" t="s">
        <v>259</v>
      </c>
      <c r="AC710" s="176">
        <f t="shared" si="103"/>
        <v>0</v>
      </c>
      <c r="AD710"/>
    </row>
    <row r="711" spans="2:30">
      <c r="B711" s="183">
        <f t="shared" si="108"/>
        <v>21</v>
      </c>
      <c r="C711" s="107" t="str">
        <f t="shared" si="109"/>
        <v>ATK</v>
      </c>
      <c r="D711" s="2" t="s">
        <v>357</v>
      </c>
      <c r="E711" s="3">
        <v>43972</v>
      </c>
      <c r="F711" s="3">
        <v>43972</v>
      </c>
      <c r="G711" s="108">
        <f t="shared" si="110"/>
        <v>5</v>
      </c>
      <c r="H711" s="108" t="str">
        <f t="shared" si="111"/>
        <v>완료</v>
      </c>
      <c r="I711" s="112" t="s">
        <v>218</v>
      </c>
      <c r="J711" s="4" t="s">
        <v>115</v>
      </c>
      <c r="K711" s="5" t="s">
        <v>138</v>
      </c>
      <c r="L711" s="6" t="str">
        <f t="shared" si="106"/>
        <v>EE1</v>
      </c>
      <c r="M711" s="13" t="s">
        <v>158</v>
      </c>
      <c r="N711" s="7" t="s">
        <v>3500</v>
      </c>
      <c r="O711" s="13" t="s">
        <v>320</v>
      </c>
      <c r="P711" s="115" t="s">
        <v>1617</v>
      </c>
      <c r="Q711" s="8"/>
      <c r="R711" s="2">
        <v>1</v>
      </c>
      <c r="S711" s="9">
        <v>1200</v>
      </c>
      <c r="T711" s="10">
        <f t="shared" si="104"/>
        <v>600</v>
      </c>
      <c r="U711" s="9">
        <v>50</v>
      </c>
      <c r="V711" s="10">
        <f t="shared" si="105"/>
        <v>550</v>
      </c>
      <c r="W711" s="4" t="s">
        <v>122</v>
      </c>
      <c r="X711" s="2"/>
      <c r="Y711" s="11">
        <v>1</v>
      </c>
      <c r="Z711" s="12">
        <f t="shared" si="107"/>
        <v>0</v>
      </c>
      <c r="AA711" s="4" t="s">
        <v>27</v>
      </c>
      <c r="AC711" s="176">
        <f t="shared" si="103"/>
        <v>4.5454545454545456E-2</v>
      </c>
      <c r="AD711"/>
    </row>
    <row r="712" spans="2:30">
      <c r="B712" s="183">
        <f t="shared" si="108"/>
        <v>21</v>
      </c>
      <c r="C712" s="107" t="str">
        <f t="shared" si="109"/>
        <v>ATK</v>
      </c>
      <c r="D712" s="2" t="s">
        <v>617</v>
      </c>
      <c r="E712" s="3">
        <v>43972</v>
      </c>
      <c r="F712" s="3">
        <v>43972</v>
      </c>
      <c r="G712" s="108">
        <f t="shared" si="110"/>
        <v>5</v>
      </c>
      <c r="H712" s="108" t="str">
        <f t="shared" si="111"/>
        <v>완료</v>
      </c>
      <c r="I712" s="112" t="s">
        <v>218</v>
      </c>
      <c r="J712" s="4" t="s">
        <v>281</v>
      </c>
      <c r="K712" s="5" t="s">
        <v>332</v>
      </c>
      <c r="L712" s="6" t="str">
        <f t="shared" si="106"/>
        <v>EE2</v>
      </c>
      <c r="M712" s="13" t="s">
        <v>256</v>
      </c>
      <c r="N712" s="7" t="s">
        <v>3529</v>
      </c>
      <c r="O712" s="13" t="s">
        <v>1782</v>
      </c>
      <c r="P712" s="115" t="s">
        <v>1944</v>
      </c>
      <c r="Q712" s="8"/>
      <c r="R712" s="2">
        <v>1</v>
      </c>
      <c r="S712" s="9">
        <v>4500</v>
      </c>
      <c r="T712" s="10">
        <f t="shared" si="104"/>
        <v>2250</v>
      </c>
      <c r="U712" s="9">
        <v>60</v>
      </c>
      <c r="V712" s="10">
        <f t="shared" si="105"/>
        <v>2190</v>
      </c>
      <c r="W712" s="4" t="s">
        <v>122</v>
      </c>
      <c r="X712" s="2"/>
      <c r="Y712" s="11">
        <v>2</v>
      </c>
      <c r="Z712" s="12">
        <f t="shared" si="107"/>
        <v>0</v>
      </c>
      <c r="AA712" s="4" t="s">
        <v>27</v>
      </c>
      <c r="AC712" s="176">
        <f t="shared" si="103"/>
        <v>5.4545454545454543E-2</v>
      </c>
      <c r="AD712"/>
    </row>
    <row r="713" spans="2:30">
      <c r="B713" s="183">
        <f t="shared" si="108"/>
        <v>21</v>
      </c>
      <c r="C713" s="107" t="str">
        <f t="shared" si="109"/>
        <v>ATK</v>
      </c>
      <c r="D713" s="2" t="s">
        <v>1945</v>
      </c>
      <c r="E713" s="3">
        <v>43971</v>
      </c>
      <c r="F713" s="3">
        <v>43972</v>
      </c>
      <c r="G713" s="108">
        <f t="shared" si="110"/>
        <v>5</v>
      </c>
      <c r="H713" s="108" t="str">
        <f t="shared" si="111"/>
        <v>완료</v>
      </c>
      <c r="I713" s="112" t="s">
        <v>218</v>
      </c>
      <c r="J713" s="4" t="s">
        <v>115</v>
      </c>
      <c r="K713" s="5" t="s">
        <v>138</v>
      </c>
      <c r="L713" s="6" t="str">
        <f t="shared" si="106"/>
        <v>EE1</v>
      </c>
      <c r="M713" s="13" t="s">
        <v>226</v>
      </c>
      <c r="N713" s="7" t="s">
        <v>3781</v>
      </c>
      <c r="O713" s="13" t="s">
        <v>1695</v>
      </c>
      <c r="P713" s="115" t="s">
        <v>1946</v>
      </c>
      <c r="Q713" s="8"/>
      <c r="R713" s="2">
        <v>1</v>
      </c>
      <c r="S713" s="9">
        <v>800</v>
      </c>
      <c r="T713" s="10">
        <f t="shared" si="104"/>
        <v>400</v>
      </c>
      <c r="U713" s="9">
        <v>60</v>
      </c>
      <c r="V713" s="10">
        <f t="shared" si="105"/>
        <v>340</v>
      </c>
      <c r="W713" s="4" t="s">
        <v>122</v>
      </c>
      <c r="X713" s="2"/>
      <c r="Y713" s="11">
        <v>6</v>
      </c>
      <c r="Z713" s="12">
        <f t="shared" si="107"/>
        <v>1</v>
      </c>
      <c r="AA713" s="4" t="s">
        <v>117</v>
      </c>
      <c r="AC713" s="176">
        <f t="shared" si="103"/>
        <v>5.4545454545454543E-2</v>
      </c>
      <c r="AD713"/>
    </row>
    <row r="714" spans="2:30">
      <c r="B714" s="183">
        <f t="shared" si="108"/>
        <v>21</v>
      </c>
      <c r="C714" s="107" t="str">
        <f t="shared" si="109"/>
        <v>ATK</v>
      </c>
      <c r="D714" s="2" t="s">
        <v>1947</v>
      </c>
      <c r="E714" s="3">
        <v>43972</v>
      </c>
      <c r="F714" s="3">
        <v>43972</v>
      </c>
      <c r="G714" s="108">
        <f t="shared" si="110"/>
        <v>5</v>
      </c>
      <c r="H714" s="108" t="str">
        <f t="shared" si="111"/>
        <v>완료</v>
      </c>
      <c r="I714" s="112" t="s">
        <v>1948</v>
      </c>
      <c r="J714" s="4" t="s">
        <v>1949</v>
      </c>
      <c r="K714" s="5" t="s">
        <v>1950</v>
      </c>
      <c r="L714" s="6" t="str">
        <f t="shared" si="106"/>
        <v>3T3</v>
      </c>
      <c r="M714" s="13" t="s">
        <v>1493</v>
      </c>
      <c r="N714" s="7" t="s">
        <v>3782</v>
      </c>
      <c r="O714" s="13" t="s">
        <v>1494</v>
      </c>
      <c r="P714" s="115" t="s">
        <v>1951</v>
      </c>
      <c r="Q714" s="8"/>
      <c r="R714" s="2">
        <v>1</v>
      </c>
      <c r="S714" s="9">
        <v>1200</v>
      </c>
      <c r="T714" s="10">
        <f t="shared" si="104"/>
        <v>600</v>
      </c>
      <c r="U714" s="9">
        <v>25</v>
      </c>
      <c r="V714" s="10">
        <f t="shared" si="105"/>
        <v>575</v>
      </c>
      <c r="W714" s="4" t="s">
        <v>1952</v>
      </c>
      <c r="X714" s="2"/>
      <c r="Y714" s="11">
        <v>4</v>
      </c>
      <c r="Z714" s="12">
        <f t="shared" si="107"/>
        <v>0</v>
      </c>
      <c r="AA714" s="4" t="s">
        <v>1953</v>
      </c>
      <c r="AC714" s="176">
        <f t="shared" si="103"/>
        <v>2.2727272727272728E-2</v>
      </c>
      <c r="AD714"/>
    </row>
    <row r="715" spans="2:30" ht="24">
      <c r="B715" s="183">
        <f t="shared" si="108"/>
        <v>21</v>
      </c>
      <c r="C715" s="107" t="str">
        <f t="shared" si="109"/>
        <v>ATK</v>
      </c>
      <c r="D715" s="2" t="s">
        <v>1954</v>
      </c>
      <c r="E715" s="3">
        <v>43971</v>
      </c>
      <c r="F715" s="3">
        <v>43972</v>
      </c>
      <c r="G715" s="108">
        <f t="shared" si="110"/>
        <v>5</v>
      </c>
      <c r="H715" s="108" t="str">
        <f t="shared" si="111"/>
        <v>완료</v>
      </c>
      <c r="I715" s="112" t="s">
        <v>218</v>
      </c>
      <c r="J715" s="4" t="s">
        <v>499</v>
      </c>
      <c r="K715" s="5" t="s">
        <v>499</v>
      </c>
      <c r="L715" s="6" t="str">
        <f t="shared" si="106"/>
        <v>QA</v>
      </c>
      <c r="M715" s="13" t="s">
        <v>1955</v>
      </c>
      <c r="N715" s="7">
        <v>4022</v>
      </c>
      <c r="O715" s="13" t="s">
        <v>1956</v>
      </c>
      <c r="P715" s="115" t="s">
        <v>1957</v>
      </c>
      <c r="Q715" s="8" t="s">
        <v>1958</v>
      </c>
      <c r="R715" s="2">
        <v>1</v>
      </c>
      <c r="S715" s="9">
        <v>7745</v>
      </c>
      <c r="T715" s="10">
        <f t="shared" si="104"/>
        <v>3872.5</v>
      </c>
      <c r="U715" s="9">
        <v>0</v>
      </c>
      <c r="V715" s="10">
        <f t="shared" si="105"/>
        <v>3872.5</v>
      </c>
      <c r="W715" s="4" t="s">
        <v>122</v>
      </c>
      <c r="X715" s="2"/>
      <c r="Y715" s="11">
        <v>4</v>
      </c>
      <c r="Z715" s="12">
        <f t="shared" si="107"/>
        <v>1</v>
      </c>
      <c r="AA715" s="4" t="s">
        <v>120</v>
      </c>
      <c r="AC715" s="176">
        <f t="shared" si="103"/>
        <v>0</v>
      </c>
      <c r="AD715"/>
    </row>
    <row r="716" spans="2:30">
      <c r="B716" s="183">
        <f t="shared" si="108"/>
        <v>30</v>
      </c>
      <c r="C716" s="107" t="str">
        <f t="shared" si="109"/>
        <v>ATK</v>
      </c>
      <c r="D716" s="2" t="s">
        <v>724</v>
      </c>
      <c r="E716" s="3">
        <v>43972</v>
      </c>
      <c r="F716" s="3">
        <v>44034</v>
      </c>
      <c r="G716" s="108">
        <f t="shared" si="110"/>
        <v>7</v>
      </c>
      <c r="H716" s="108" t="str">
        <f t="shared" si="111"/>
        <v>완료</v>
      </c>
      <c r="I716" s="112" t="s">
        <v>218</v>
      </c>
      <c r="J716" s="4" t="s">
        <v>121</v>
      </c>
      <c r="K716" s="5" t="s">
        <v>136</v>
      </c>
      <c r="L716" s="6" t="str">
        <f t="shared" si="106"/>
        <v>5T1</v>
      </c>
      <c r="M716" s="13" t="s">
        <v>1563</v>
      </c>
      <c r="N716" s="7" t="s">
        <v>3720</v>
      </c>
      <c r="O716" s="13" t="s">
        <v>1959</v>
      </c>
      <c r="P716" s="115" t="s">
        <v>3011</v>
      </c>
      <c r="Q716" s="8" t="s">
        <v>3012</v>
      </c>
      <c r="R716" s="2">
        <v>1</v>
      </c>
      <c r="S716" s="9">
        <v>4000</v>
      </c>
      <c r="T716" s="10">
        <f t="shared" si="104"/>
        <v>2000</v>
      </c>
      <c r="U716" s="9">
        <v>150</v>
      </c>
      <c r="V716" s="10">
        <f t="shared" si="105"/>
        <v>1850</v>
      </c>
      <c r="W716" s="4" t="s">
        <v>122</v>
      </c>
      <c r="X716" s="2"/>
      <c r="Y716" s="11">
        <v>5</v>
      </c>
      <c r="Z716" s="12">
        <f t="shared" si="107"/>
        <v>62</v>
      </c>
      <c r="AA716" s="4" t="s">
        <v>120</v>
      </c>
      <c r="AC716" s="176">
        <f t="shared" si="103"/>
        <v>0.13636363636363635</v>
      </c>
      <c r="AD716"/>
    </row>
    <row r="717" spans="2:30">
      <c r="B717" s="183">
        <f t="shared" si="108"/>
        <v>21</v>
      </c>
      <c r="C717" s="107" t="str">
        <f t="shared" si="109"/>
        <v>ATK</v>
      </c>
      <c r="D717" s="2" t="s">
        <v>1960</v>
      </c>
      <c r="E717" s="3">
        <v>43972</v>
      </c>
      <c r="F717" s="3">
        <v>43973</v>
      </c>
      <c r="G717" s="108">
        <f t="shared" si="110"/>
        <v>5</v>
      </c>
      <c r="H717" s="108" t="str">
        <f t="shared" si="111"/>
        <v>완료</v>
      </c>
      <c r="I717" s="112" t="s">
        <v>218</v>
      </c>
      <c r="J717" s="4" t="s">
        <v>115</v>
      </c>
      <c r="K717" s="5" t="s">
        <v>138</v>
      </c>
      <c r="L717" s="6" t="str">
        <f t="shared" si="106"/>
        <v>EE1</v>
      </c>
      <c r="M717" s="13" t="s">
        <v>711</v>
      </c>
      <c r="N717" s="7" t="s">
        <v>3783</v>
      </c>
      <c r="O717" s="7" t="s">
        <v>1961</v>
      </c>
      <c r="P717" s="115" t="s">
        <v>1962</v>
      </c>
      <c r="Q717" s="8"/>
      <c r="R717" s="2">
        <v>1</v>
      </c>
      <c r="S717" s="9">
        <v>1000</v>
      </c>
      <c r="T717" s="10">
        <f t="shared" si="104"/>
        <v>500</v>
      </c>
      <c r="U717" s="9">
        <v>20</v>
      </c>
      <c r="V717" s="10">
        <f t="shared" si="105"/>
        <v>480</v>
      </c>
      <c r="W717" s="4" t="s">
        <v>122</v>
      </c>
      <c r="X717" s="2"/>
      <c r="Y717" s="11">
        <v>12</v>
      </c>
      <c r="Z717" s="12">
        <f t="shared" si="107"/>
        <v>1</v>
      </c>
      <c r="AA717" s="4" t="s">
        <v>212</v>
      </c>
      <c r="AC717" s="176">
        <f t="shared" si="103"/>
        <v>1.8181818181818181E-2</v>
      </c>
      <c r="AD717"/>
    </row>
    <row r="718" spans="2:30">
      <c r="B718" s="183">
        <f t="shared" si="108"/>
        <v>21</v>
      </c>
      <c r="C718" s="107" t="str">
        <f t="shared" si="109"/>
        <v>ATK</v>
      </c>
      <c r="D718" s="2" t="s">
        <v>1963</v>
      </c>
      <c r="E718" s="3">
        <v>43972</v>
      </c>
      <c r="F718" s="3">
        <v>43973</v>
      </c>
      <c r="G718" s="108">
        <f t="shared" si="110"/>
        <v>5</v>
      </c>
      <c r="H718" s="108" t="str">
        <f t="shared" si="111"/>
        <v>완료</v>
      </c>
      <c r="I718" s="112" t="s">
        <v>1964</v>
      </c>
      <c r="J718" s="4" t="s">
        <v>1965</v>
      </c>
      <c r="K718" s="5" t="s">
        <v>1966</v>
      </c>
      <c r="L718" s="6" t="str">
        <f t="shared" si="106"/>
        <v>EE1</v>
      </c>
      <c r="M718" s="13" t="s">
        <v>207</v>
      </c>
      <c r="N718" s="7" t="s">
        <v>3707</v>
      </c>
      <c r="O718" s="13" t="s">
        <v>207</v>
      </c>
      <c r="P718" s="115" t="s">
        <v>1967</v>
      </c>
      <c r="Q718" s="8"/>
      <c r="R718" s="2">
        <v>1</v>
      </c>
      <c r="S718" s="9">
        <v>500</v>
      </c>
      <c r="T718" s="10">
        <f t="shared" si="104"/>
        <v>250</v>
      </c>
      <c r="U718" s="9">
        <v>20</v>
      </c>
      <c r="V718" s="10">
        <f t="shared" si="105"/>
        <v>230</v>
      </c>
      <c r="W718" s="4" t="s">
        <v>249</v>
      </c>
      <c r="X718" s="2"/>
      <c r="Y718" s="11">
        <v>3</v>
      </c>
      <c r="Z718" s="12">
        <f t="shared" si="107"/>
        <v>1</v>
      </c>
      <c r="AA718" s="4" t="s">
        <v>174</v>
      </c>
      <c r="AC718" s="176">
        <f t="shared" si="103"/>
        <v>1.8181818181818181E-2</v>
      </c>
      <c r="AD718"/>
    </row>
    <row r="719" spans="2:30">
      <c r="B719" s="183">
        <f t="shared" si="108"/>
        <v>21</v>
      </c>
      <c r="C719" s="107" t="str">
        <f t="shared" si="109"/>
        <v>ATK</v>
      </c>
      <c r="D719" s="2" t="s">
        <v>704</v>
      </c>
      <c r="E719" s="3">
        <v>43973</v>
      </c>
      <c r="F719" s="3">
        <v>43973</v>
      </c>
      <c r="G719" s="108">
        <f t="shared" si="110"/>
        <v>5</v>
      </c>
      <c r="H719" s="108" t="str">
        <f t="shared" si="111"/>
        <v>완료</v>
      </c>
      <c r="I719" s="112" t="s">
        <v>218</v>
      </c>
      <c r="J719" s="4" t="s">
        <v>127</v>
      </c>
      <c r="K719" s="5" t="s">
        <v>131</v>
      </c>
      <c r="L719" s="6" t="str">
        <f t="shared" si="106"/>
        <v>1T4</v>
      </c>
      <c r="M719" s="13" t="s">
        <v>1144</v>
      </c>
      <c r="N719" s="7" t="s">
        <v>3784</v>
      </c>
      <c r="O719" s="13" t="s">
        <v>543</v>
      </c>
      <c r="P719" s="115" t="s">
        <v>1968</v>
      </c>
      <c r="Q719" s="8" t="s">
        <v>1969</v>
      </c>
      <c r="R719" s="2">
        <v>1</v>
      </c>
      <c r="S719" s="9">
        <v>550</v>
      </c>
      <c r="T719" s="10">
        <f t="shared" si="104"/>
        <v>275</v>
      </c>
      <c r="U719" s="9">
        <v>20</v>
      </c>
      <c r="V719" s="10">
        <f t="shared" si="105"/>
        <v>255</v>
      </c>
      <c r="W719" s="4" t="s">
        <v>122</v>
      </c>
      <c r="X719" s="2"/>
      <c r="Y719" s="11">
        <v>4</v>
      </c>
      <c r="Z719" s="12">
        <f t="shared" si="107"/>
        <v>0</v>
      </c>
      <c r="AA719" s="4" t="s">
        <v>120</v>
      </c>
      <c r="AC719" s="176">
        <f t="shared" si="103"/>
        <v>1.8181818181818181E-2</v>
      </c>
      <c r="AD719"/>
    </row>
    <row r="720" spans="2:30">
      <c r="B720" s="183">
        <f t="shared" si="108"/>
        <v>21</v>
      </c>
      <c r="C720" s="107" t="str">
        <f t="shared" si="109"/>
        <v>ATK</v>
      </c>
      <c r="D720" s="2" t="s">
        <v>1970</v>
      </c>
      <c r="E720" s="3">
        <v>43973</v>
      </c>
      <c r="F720" s="3">
        <v>43973</v>
      </c>
      <c r="G720" s="108">
        <f t="shared" si="110"/>
        <v>5</v>
      </c>
      <c r="H720" s="108" t="str">
        <f t="shared" si="111"/>
        <v>완료</v>
      </c>
      <c r="I720" s="112" t="s">
        <v>218</v>
      </c>
      <c r="J720" s="4" t="s">
        <v>132</v>
      </c>
      <c r="K720" s="5" t="s">
        <v>143</v>
      </c>
      <c r="L720" s="6" t="str">
        <f t="shared" si="106"/>
        <v>3T4</v>
      </c>
      <c r="M720" s="13"/>
      <c r="N720" s="7"/>
      <c r="O720" s="13" t="s">
        <v>367</v>
      </c>
      <c r="P720" s="115" t="s">
        <v>1971</v>
      </c>
      <c r="Q720" s="8"/>
      <c r="R720" s="2">
        <v>1</v>
      </c>
      <c r="S720" s="9">
        <v>1200</v>
      </c>
      <c r="T720" s="10">
        <f t="shared" si="104"/>
        <v>600</v>
      </c>
      <c r="U720" s="9"/>
      <c r="V720" s="10">
        <f t="shared" si="105"/>
        <v>600</v>
      </c>
      <c r="W720" s="4" t="s">
        <v>122</v>
      </c>
      <c r="X720" s="2"/>
      <c r="Y720" s="11">
        <v>5</v>
      </c>
      <c r="Z720" s="12">
        <f t="shared" si="107"/>
        <v>0</v>
      </c>
      <c r="AA720" s="4" t="s">
        <v>259</v>
      </c>
      <c r="AC720" s="176">
        <f t="shared" si="103"/>
        <v>0</v>
      </c>
      <c r="AD720"/>
    </row>
    <row r="721" spans="2:30">
      <c r="B721" s="183">
        <f t="shared" si="108"/>
        <v>21</v>
      </c>
      <c r="C721" s="107" t="str">
        <f t="shared" si="109"/>
        <v>ATK</v>
      </c>
      <c r="D721" s="2" t="s">
        <v>1972</v>
      </c>
      <c r="E721" s="3">
        <v>43973</v>
      </c>
      <c r="F721" s="3">
        <v>43973</v>
      </c>
      <c r="G721" s="108">
        <f t="shared" si="110"/>
        <v>5</v>
      </c>
      <c r="H721" s="108" t="str">
        <f t="shared" si="111"/>
        <v>Other</v>
      </c>
      <c r="I721" s="112" t="s">
        <v>251</v>
      </c>
      <c r="J721" s="4" t="s">
        <v>132</v>
      </c>
      <c r="K721" s="5" t="s">
        <v>133</v>
      </c>
      <c r="L721" s="6" t="str">
        <f t="shared" si="106"/>
        <v>3T3</v>
      </c>
      <c r="M721" s="13" t="s">
        <v>226</v>
      </c>
      <c r="N721" s="7" t="s">
        <v>140</v>
      </c>
      <c r="O721" s="13" t="s">
        <v>1973</v>
      </c>
      <c r="P721" s="115"/>
      <c r="Q721" s="8"/>
      <c r="R721" s="2">
        <v>1</v>
      </c>
      <c r="S721" s="9">
        <v>0</v>
      </c>
      <c r="T721" s="10">
        <f t="shared" si="104"/>
        <v>0</v>
      </c>
      <c r="U721" s="9">
        <v>0</v>
      </c>
      <c r="V721" s="10">
        <f t="shared" si="105"/>
        <v>0</v>
      </c>
      <c r="W721" s="4" t="s">
        <v>122</v>
      </c>
      <c r="X721" s="2"/>
      <c r="Y721" s="11">
        <v>3</v>
      </c>
      <c r="Z721" s="12">
        <f t="shared" si="107"/>
        <v>0</v>
      </c>
      <c r="AA721" s="4" t="s">
        <v>30</v>
      </c>
      <c r="AC721" s="176">
        <f t="shared" si="103"/>
        <v>0</v>
      </c>
      <c r="AD721"/>
    </row>
    <row r="722" spans="2:30">
      <c r="B722" s="183">
        <f t="shared" si="108"/>
        <v>21</v>
      </c>
      <c r="C722" s="107" t="str">
        <f t="shared" si="109"/>
        <v>ATK</v>
      </c>
      <c r="D722" s="2" t="s">
        <v>1972</v>
      </c>
      <c r="E722" s="3">
        <v>43973</v>
      </c>
      <c r="F722" s="3">
        <v>43973</v>
      </c>
      <c r="G722" s="108">
        <f t="shared" si="110"/>
        <v>5</v>
      </c>
      <c r="H722" s="108" t="str">
        <f t="shared" si="111"/>
        <v>Other</v>
      </c>
      <c r="I722" s="112" t="s">
        <v>251</v>
      </c>
      <c r="J722" s="4" t="s">
        <v>132</v>
      </c>
      <c r="K722" s="5" t="s">
        <v>133</v>
      </c>
      <c r="L722" s="6" t="str">
        <f t="shared" si="106"/>
        <v>3T3</v>
      </c>
      <c r="M722" s="13" t="s">
        <v>226</v>
      </c>
      <c r="N722" s="7" t="s">
        <v>140</v>
      </c>
      <c r="O722" s="13" t="s">
        <v>1973</v>
      </c>
      <c r="P722" s="115"/>
      <c r="Q722" s="8"/>
      <c r="R722" s="2">
        <v>1</v>
      </c>
      <c r="S722" s="9">
        <v>0</v>
      </c>
      <c r="T722" s="10">
        <f t="shared" ref="T722:T723" si="112">(S722*50)/100*R722</f>
        <v>0</v>
      </c>
      <c r="U722" s="9">
        <v>0</v>
      </c>
      <c r="V722" s="10">
        <f t="shared" ref="V722:V723" si="113">T722-U722</f>
        <v>0</v>
      </c>
      <c r="W722" s="4" t="s">
        <v>122</v>
      </c>
      <c r="X722" s="2"/>
      <c r="Y722" s="11">
        <v>3</v>
      </c>
      <c r="Z722" s="12">
        <f t="shared" si="107"/>
        <v>0</v>
      </c>
      <c r="AA722" s="4" t="s">
        <v>174</v>
      </c>
      <c r="AC722" s="176">
        <f t="shared" si="103"/>
        <v>0</v>
      </c>
      <c r="AD722"/>
    </row>
    <row r="723" spans="2:30">
      <c r="B723" s="183">
        <f t="shared" si="108"/>
        <v>21</v>
      </c>
      <c r="C723" s="107" t="str">
        <f t="shared" si="109"/>
        <v>ATK</v>
      </c>
      <c r="D723" s="2" t="s">
        <v>1972</v>
      </c>
      <c r="E723" s="3">
        <v>43973</v>
      </c>
      <c r="F723" s="3">
        <v>43973</v>
      </c>
      <c r="G723" s="108">
        <f t="shared" si="110"/>
        <v>5</v>
      </c>
      <c r="H723" s="108" t="str">
        <f t="shared" si="111"/>
        <v>Other</v>
      </c>
      <c r="I723" s="112" t="s">
        <v>251</v>
      </c>
      <c r="J723" s="4" t="s">
        <v>132</v>
      </c>
      <c r="K723" s="5" t="s">
        <v>133</v>
      </c>
      <c r="L723" s="6" t="str">
        <f t="shared" si="106"/>
        <v>3T3</v>
      </c>
      <c r="M723" s="13" t="s">
        <v>226</v>
      </c>
      <c r="N723" s="7" t="s">
        <v>140</v>
      </c>
      <c r="O723" s="13" t="s">
        <v>1973</v>
      </c>
      <c r="P723" s="115"/>
      <c r="Q723" s="8"/>
      <c r="R723" s="2">
        <v>1</v>
      </c>
      <c r="S723" s="9">
        <v>0</v>
      </c>
      <c r="T723" s="10">
        <f t="shared" si="112"/>
        <v>0</v>
      </c>
      <c r="U723" s="9">
        <v>0</v>
      </c>
      <c r="V723" s="10">
        <f t="shared" si="113"/>
        <v>0</v>
      </c>
      <c r="W723" s="4" t="s">
        <v>122</v>
      </c>
      <c r="X723" s="2"/>
      <c r="Y723" s="11">
        <v>3</v>
      </c>
      <c r="Z723" s="12">
        <f t="shared" si="107"/>
        <v>0</v>
      </c>
      <c r="AA723" s="4" t="s">
        <v>27</v>
      </c>
      <c r="AC723" s="176">
        <f t="shared" si="103"/>
        <v>0</v>
      </c>
      <c r="AD723"/>
    </row>
    <row r="724" spans="2:30">
      <c r="B724" s="183">
        <f t="shared" si="108"/>
        <v>22</v>
      </c>
      <c r="C724" s="107" t="str">
        <f t="shared" si="109"/>
        <v>ATK</v>
      </c>
      <c r="D724" s="2" t="s">
        <v>1974</v>
      </c>
      <c r="E724" s="3">
        <v>43973</v>
      </c>
      <c r="F724" s="3">
        <v>43976</v>
      </c>
      <c r="G724" s="108">
        <f t="shared" si="110"/>
        <v>5</v>
      </c>
      <c r="H724" s="108" t="str">
        <f t="shared" si="111"/>
        <v>완료</v>
      </c>
      <c r="I724" s="112" t="s">
        <v>264</v>
      </c>
      <c r="J724" s="4" t="s">
        <v>1975</v>
      </c>
      <c r="K724" s="5" t="s">
        <v>1975</v>
      </c>
      <c r="L724" s="6" t="str">
        <f t="shared" si="106"/>
        <v>QA</v>
      </c>
      <c r="M724" s="13" t="s">
        <v>207</v>
      </c>
      <c r="N724" s="7" t="s">
        <v>3785</v>
      </c>
      <c r="O724" s="13" t="s">
        <v>207</v>
      </c>
      <c r="P724" s="115" t="s">
        <v>1796</v>
      </c>
      <c r="Q724" s="8"/>
      <c r="R724" s="2">
        <v>1</v>
      </c>
      <c r="S724" s="9">
        <v>450</v>
      </c>
      <c r="T724" s="10">
        <f t="shared" si="104"/>
        <v>225</v>
      </c>
      <c r="U724" s="9">
        <v>20</v>
      </c>
      <c r="V724" s="10">
        <f t="shared" si="105"/>
        <v>205</v>
      </c>
      <c r="W724" s="4" t="s">
        <v>1976</v>
      </c>
      <c r="X724" s="2"/>
      <c r="Y724" s="11">
        <v>2</v>
      </c>
      <c r="Z724" s="12">
        <f t="shared" si="107"/>
        <v>3</v>
      </c>
      <c r="AA724" s="4" t="s">
        <v>1977</v>
      </c>
      <c r="AC724" s="176">
        <f t="shared" si="103"/>
        <v>1.8181818181818181E-2</v>
      </c>
      <c r="AD724"/>
    </row>
    <row r="725" spans="2:30">
      <c r="B725" s="183">
        <f t="shared" si="108"/>
        <v>22</v>
      </c>
      <c r="C725" s="107" t="str">
        <f t="shared" si="109"/>
        <v>ATK</v>
      </c>
      <c r="D725" s="2" t="s">
        <v>1978</v>
      </c>
      <c r="E725" s="3">
        <v>43976</v>
      </c>
      <c r="F725" s="3">
        <v>43976</v>
      </c>
      <c r="G725" s="108">
        <f t="shared" si="110"/>
        <v>5</v>
      </c>
      <c r="H725" s="108" t="str">
        <f t="shared" si="111"/>
        <v>완료</v>
      </c>
      <c r="I725" s="112" t="s">
        <v>218</v>
      </c>
      <c r="J725" s="4" t="s">
        <v>251</v>
      </c>
      <c r="K725" s="5" t="s">
        <v>251</v>
      </c>
      <c r="L725" s="6" t="str">
        <f t="shared" si="106"/>
        <v>Oth</v>
      </c>
      <c r="M725" s="13" t="s">
        <v>1979</v>
      </c>
      <c r="N725" s="7" t="s">
        <v>3786</v>
      </c>
      <c r="O725" s="13" t="s">
        <v>1980</v>
      </c>
      <c r="P725" s="115" t="s">
        <v>1981</v>
      </c>
      <c r="Q725" s="8" t="s">
        <v>1982</v>
      </c>
      <c r="R725" s="2">
        <v>1</v>
      </c>
      <c r="S725" s="9">
        <v>400</v>
      </c>
      <c r="T725" s="10">
        <f t="shared" si="104"/>
        <v>200</v>
      </c>
      <c r="U725" s="9">
        <v>10</v>
      </c>
      <c r="V725" s="10">
        <f t="shared" si="105"/>
        <v>190</v>
      </c>
      <c r="W725" s="4" t="s">
        <v>122</v>
      </c>
      <c r="X725" s="2"/>
      <c r="Y725" s="11">
        <v>4</v>
      </c>
      <c r="Z725" s="12">
        <f t="shared" si="107"/>
        <v>0</v>
      </c>
      <c r="AA725" s="4" t="s">
        <v>120</v>
      </c>
      <c r="AC725" s="176">
        <f t="shared" si="103"/>
        <v>9.0909090909090905E-3</v>
      </c>
      <c r="AD725"/>
    </row>
    <row r="726" spans="2:30">
      <c r="B726" s="183">
        <f t="shared" si="108"/>
        <v>22</v>
      </c>
      <c r="C726" s="107" t="str">
        <f t="shared" si="109"/>
        <v>ATK</v>
      </c>
      <c r="D726" s="2" t="s">
        <v>1983</v>
      </c>
      <c r="E726" s="3">
        <v>43976</v>
      </c>
      <c r="F726" s="3">
        <v>43976</v>
      </c>
      <c r="G726" s="108">
        <f t="shared" si="110"/>
        <v>5</v>
      </c>
      <c r="H726" s="108" t="str">
        <f t="shared" si="111"/>
        <v>완료</v>
      </c>
      <c r="I726" s="112" t="s">
        <v>218</v>
      </c>
      <c r="J726" s="4" t="s">
        <v>121</v>
      </c>
      <c r="K726" s="5" t="s">
        <v>229</v>
      </c>
      <c r="L726" s="6" t="str">
        <f t="shared" si="106"/>
        <v>5T2</v>
      </c>
      <c r="M726" s="13"/>
      <c r="N726" s="7" t="s">
        <v>3512</v>
      </c>
      <c r="O726" s="13" t="s">
        <v>284</v>
      </c>
      <c r="P726" s="115" t="s">
        <v>1984</v>
      </c>
      <c r="Q726" s="8"/>
      <c r="R726" s="2">
        <v>2</v>
      </c>
      <c r="S726" s="9">
        <v>1200</v>
      </c>
      <c r="T726" s="10">
        <f t="shared" si="104"/>
        <v>1200</v>
      </c>
      <c r="U726" s="9">
        <v>10</v>
      </c>
      <c r="V726" s="10">
        <f t="shared" si="105"/>
        <v>1190</v>
      </c>
      <c r="W726" s="4" t="s">
        <v>4126</v>
      </c>
      <c r="X726" s="2"/>
      <c r="Y726" s="11">
        <v>4</v>
      </c>
      <c r="Z726" s="12">
        <f t="shared" si="107"/>
        <v>0</v>
      </c>
      <c r="AA726" s="4" t="s">
        <v>259</v>
      </c>
      <c r="AC726" s="176">
        <f t="shared" si="103"/>
        <v>9.0909090909090905E-3</v>
      </c>
      <c r="AD726"/>
    </row>
    <row r="727" spans="2:30">
      <c r="B727" s="183">
        <f t="shared" si="108"/>
        <v>22</v>
      </c>
      <c r="C727" s="107" t="str">
        <f t="shared" si="109"/>
        <v>ATK</v>
      </c>
      <c r="D727" s="2" t="s">
        <v>1992</v>
      </c>
      <c r="E727" s="3">
        <v>43971</v>
      </c>
      <c r="F727" s="3">
        <v>43976</v>
      </c>
      <c r="G727" s="108">
        <f t="shared" si="110"/>
        <v>5</v>
      </c>
      <c r="H727" s="108" t="str">
        <f t="shared" si="111"/>
        <v>완료</v>
      </c>
      <c r="I727" s="112" t="s">
        <v>1985</v>
      </c>
      <c r="J727" s="4" t="s">
        <v>1986</v>
      </c>
      <c r="K727" s="5" t="s">
        <v>1987</v>
      </c>
      <c r="L727" s="6" t="str">
        <f t="shared" si="106"/>
        <v>1T1</v>
      </c>
      <c r="M727" s="13" t="s">
        <v>270</v>
      </c>
      <c r="N727" s="7" t="s">
        <v>3598</v>
      </c>
      <c r="O727" s="13" t="s">
        <v>270</v>
      </c>
      <c r="P727" s="115" t="s">
        <v>271</v>
      </c>
      <c r="Q727" s="8" t="s">
        <v>1988</v>
      </c>
      <c r="R727" s="2">
        <v>1</v>
      </c>
      <c r="S727" s="9">
        <v>1500</v>
      </c>
      <c r="T727" s="10">
        <f t="shared" si="104"/>
        <v>750</v>
      </c>
      <c r="U727" s="9">
        <v>0</v>
      </c>
      <c r="V727" s="10">
        <f t="shared" si="105"/>
        <v>750</v>
      </c>
      <c r="W727" s="4" t="s">
        <v>122</v>
      </c>
      <c r="X727" s="2"/>
      <c r="Y727" s="11">
        <v>2</v>
      </c>
      <c r="Z727" s="12">
        <f t="shared" si="107"/>
        <v>5</v>
      </c>
      <c r="AA727" s="4" t="s">
        <v>174</v>
      </c>
      <c r="AC727" s="176">
        <f t="shared" si="103"/>
        <v>0</v>
      </c>
      <c r="AD727"/>
    </row>
    <row r="728" spans="2:30">
      <c r="B728" s="183">
        <f t="shared" si="108"/>
        <v>22</v>
      </c>
      <c r="C728" s="107" t="str">
        <f t="shared" si="109"/>
        <v>ATK</v>
      </c>
      <c r="D728" s="2" t="s">
        <v>1992</v>
      </c>
      <c r="E728" s="3">
        <v>43971</v>
      </c>
      <c r="F728" s="3">
        <v>43976</v>
      </c>
      <c r="G728" s="108">
        <f t="shared" si="110"/>
        <v>5</v>
      </c>
      <c r="H728" s="108" t="str">
        <f t="shared" si="111"/>
        <v>완료</v>
      </c>
      <c r="I728" s="112" t="s">
        <v>1985</v>
      </c>
      <c r="J728" s="4" t="s">
        <v>1986</v>
      </c>
      <c r="K728" s="5" t="s">
        <v>1987</v>
      </c>
      <c r="L728" s="6" t="str">
        <f t="shared" si="106"/>
        <v>1T1</v>
      </c>
      <c r="M728" s="13" t="s">
        <v>270</v>
      </c>
      <c r="N728" s="7" t="s">
        <v>3560</v>
      </c>
      <c r="O728" s="13" t="s">
        <v>270</v>
      </c>
      <c r="P728" s="115"/>
      <c r="Q728" s="8" t="s">
        <v>1989</v>
      </c>
      <c r="R728" s="2">
        <v>1</v>
      </c>
      <c r="S728" s="9">
        <v>910</v>
      </c>
      <c r="T728" s="10">
        <f t="shared" si="104"/>
        <v>455</v>
      </c>
      <c r="U728" s="9">
        <v>50</v>
      </c>
      <c r="V728" s="10">
        <f t="shared" si="105"/>
        <v>405</v>
      </c>
      <c r="W728" s="4" t="s">
        <v>1990</v>
      </c>
      <c r="X728" s="2"/>
      <c r="Y728" s="11">
        <v>2</v>
      </c>
      <c r="Z728" s="12">
        <f t="shared" si="107"/>
        <v>5</v>
      </c>
      <c r="AA728" s="4" t="s">
        <v>1991</v>
      </c>
      <c r="AC728" s="176">
        <f t="shared" si="103"/>
        <v>4.5454545454545456E-2</v>
      </c>
      <c r="AD728"/>
    </row>
    <row r="729" spans="2:30">
      <c r="B729" s="183">
        <f t="shared" si="108"/>
        <v>22</v>
      </c>
      <c r="C729" s="107" t="str">
        <f t="shared" si="109"/>
        <v>ATK</v>
      </c>
      <c r="D729" s="2" t="s">
        <v>1993</v>
      </c>
      <c r="E729" s="3">
        <v>43976</v>
      </c>
      <c r="F729" s="3">
        <v>43977</v>
      </c>
      <c r="G729" s="108">
        <f t="shared" si="110"/>
        <v>5</v>
      </c>
      <c r="H729" s="108" t="str">
        <f t="shared" si="111"/>
        <v>완료</v>
      </c>
      <c r="I729" s="112" t="s">
        <v>218</v>
      </c>
      <c r="J729" s="4" t="s">
        <v>115</v>
      </c>
      <c r="K729" s="5" t="s">
        <v>138</v>
      </c>
      <c r="L729" s="6" t="str">
        <f t="shared" si="106"/>
        <v>EE1</v>
      </c>
      <c r="M729" s="13" t="s">
        <v>1994</v>
      </c>
      <c r="N729" s="7"/>
      <c r="O729" s="13" t="s">
        <v>1995</v>
      </c>
      <c r="P729" s="115" t="s">
        <v>1996</v>
      </c>
      <c r="Q729" s="8"/>
      <c r="R729" s="2">
        <v>1</v>
      </c>
      <c r="S729" s="9">
        <v>1400</v>
      </c>
      <c r="T729" s="10">
        <f t="shared" si="104"/>
        <v>700</v>
      </c>
      <c r="U729" s="9">
        <v>2</v>
      </c>
      <c r="V729" s="10">
        <f t="shared" si="105"/>
        <v>698</v>
      </c>
      <c r="W729" s="4" t="s">
        <v>122</v>
      </c>
      <c r="X729" s="2"/>
      <c r="Y729" s="11">
        <v>3</v>
      </c>
      <c r="Z729" s="12">
        <f t="shared" si="107"/>
        <v>1</v>
      </c>
      <c r="AA729" s="4" t="s">
        <v>117</v>
      </c>
      <c r="AC729" s="176">
        <f t="shared" si="103"/>
        <v>1.8181818181818182E-3</v>
      </c>
      <c r="AD729"/>
    </row>
    <row r="730" spans="2:30">
      <c r="B730" s="183">
        <f t="shared" si="108"/>
        <v>22</v>
      </c>
      <c r="C730" s="107" t="str">
        <f t="shared" si="109"/>
        <v>ATK</v>
      </c>
      <c r="D730" s="2" t="s">
        <v>1997</v>
      </c>
      <c r="E730" s="3">
        <v>43976</v>
      </c>
      <c r="F730" s="3">
        <v>43977</v>
      </c>
      <c r="G730" s="108">
        <f t="shared" si="110"/>
        <v>5</v>
      </c>
      <c r="H730" s="108" t="str">
        <f t="shared" si="111"/>
        <v>완료</v>
      </c>
      <c r="I730" s="112" t="s">
        <v>218</v>
      </c>
      <c r="J730" s="4" t="s">
        <v>1998</v>
      </c>
      <c r="K730" s="5" t="s">
        <v>1999</v>
      </c>
      <c r="L730" s="6" t="str">
        <f t="shared" si="106"/>
        <v>3T1</v>
      </c>
      <c r="M730" s="13" t="s">
        <v>270</v>
      </c>
      <c r="N730" s="7" t="s">
        <v>3787</v>
      </c>
      <c r="O730" s="13" t="s">
        <v>270</v>
      </c>
      <c r="P730" s="115" t="s">
        <v>2000</v>
      </c>
      <c r="Q730" s="8" t="s">
        <v>2001</v>
      </c>
      <c r="R730" s="2">
        <v>1</v>
      </c>
      <c r="S730" s="9">
        <v>800</v>
      </c>
      <c r="T730" s="10">
        <f t="shared" si="104"/>
        <v>400</v>
      </c>
      <c r="U730" s="9">
        <v>20</v>
      </c>
      <c r="V730" s="10">
        <f t="shared" si="105"/>
        <v>380</v>
      </c>
      <c r="W730" s="4" t="s">
        <v>2002</v>
      </c>
      <c r="X730" s="2"/>
      <c r="Y730" s="11">
        <v>3</v>
      </c>
      <c r="Z730" s="12">
        <f t="shared" si="107"/>
        <v>1</v>
      </c>
      <c r="AA730" s="4" t="s">
        <v>2003</v>
      </c>
      <c r="AC730" s="176">
        <f t="shared" si="103"/>
        <v>1.8181818181818181E-2</v>
      </c>
      <c r="AD730"/>
    </row>
    <row r="731" spans="2:30">
      <c r="B731" s="183">
        <f t="shared" si="108"/>
        <v>22</v>
      </c>
      <c r="C731" s="107" t="str">
        <f t="shared" si="109"/>
        <v>ATK</v>
      </c>
      <c r="D731" s="2" t="s">
        <v>2004</v>
      </c>
      <c r="E731" s="3">
        <v>43977</v>
      </c>
      <c r="F731" s="3">
        <v>43977</v>
      </c>
      <c r="G731" s="108">
        <f t="shared" si="110"/>
        <v>5</v>
      </c>
      <c r="H731" s="108" t="str">
        <f t="shared" si="111"/>
        <v>완료</v>
      </c>
      <c r="I731" s="112" t="s">
        <v>218</v>
      </c>
      <c r="J731" s="4" t="s">
        <v>132</v>
      </c>
      <c r="K731" s="5" t="s">
        <v>322</v>
      </c>
      <c r="L731" s="6" t="str">
        <f t="shared" si="106"/>
        <v>3T1</v>
      </c>
      <c r="M731" s="13" t="s">
        <v>834</v>
      </c>
      <c r="N731" s="13" t="s">
        <v>3563</v>
      </c>
      <c r="O731" s="7" t="s">
        <v>1494</v>
      </c>
      <c r="P731" s="115" t="s">
        <v>835</v>
      </c>
      <c r="Q731" s="8"/>
      <c r="R731" s="2">
        <v>1</v>
      </c>
      <c r="S731" s="9">
        <v>3000</v>
      </c>
      <c r="T731" s="10">
        <f t="shared" si="104"/>
        <v>1500</v>
      </c>
      <c r="U731" s="9"/>
      <c r="V731" s="10">
        <f t="shared" si="105"/>
        <v>1500</v>
      </c>
      <c r="W731" s="4" t="s">
        <v>122</v>
      </c>
      <c r="X731" s="2"/>
      <c r="Y731" s="11">
        <v>2</v>
      </c>
      <c r="Z731" s="12">
        <f t="shared" si="107"/>
        <v>0</v>
      </c>
      <c r="AA731" s="4" t="s">
        <v>836</v>
      </c>
      <c r="AC731" s="176">
        <f t="shared" si="103"/>
        <v>0</v>
      </c>
      <c r="AD731"/>
    </row>
    <row r="732" spans="2:30">
      <c r="B732" s="183">
        <f t="shared" si="108"/>
        <v>22</v>
      </c>
      <c r="C732" s="107" t="str">
        <f t="shared" si="109"/>
        <v>ATK</v>
      </c>
      <c r="D732" s="2" t="s">
        <v>379</v>
      </c>
      <c r="E732" s="3">
        <v>43976</v>
      </c>
      <c r="F732" s="3">
        <v>43977</v>
      </c>
      <c r="G732" s="108">
        <f t="shared" si="110"/>
        <v>5</v>
      </c>
      <c r="H732" s="108" t="str">
        <f t="shared" si="111"/>
        <v>완료</v>
      </c>
      <c r="I732" s="112" t="s">
        <v>218</v>
      </c>
      <c r="J732" s="4" t="s">
        <v>132</v>
      </c>
      <c r="K732" s="5" t="s">
        <v>322</v>
      </c>
      <c r="L732" s="6" t="str">
        <f t="shared" si="106"/>
        <v>3T1</v>
      </c>
      <c r="M732" s="13" t="s">
        <v>1894</v>
      </c>
      <c r="N732" s="7" t="s">
        <v>3788</v>
      </c>
      <c r="O732" s="13" t="s">
        <v>2005</v>
      </c>
      <c r="P732" s="115" t="s">
        <v>2006</v>
      </c>
      <c r="Q732" s="8" t="s">
        <v>2007</v>
      </c>
      <c r="R732" s="2">
        <v>1</v>
      </c>
      <c r="S732" s="9">
        <v>450</v>
      </c>
      <c r="T732" s="10">
        <f t="shared" si="104"/>
        <v>225</v>
      </c>
      <c r="U732" s="9">
        <v>1</v>
      </c>
      <c r="V732" s="10">
        <f t="shared" si="105"/>
        <v>224</v>
      </c>
      <c r="W732" s="4" t="s">
        <v>122</v>
      </c>
      <c r="X732" s="2"/>
      <c r="Y732" s="11">
        <v>2</v>
      </c>
      <c r="Z732" s="12">
        <f t="shared" si="107"/>
        <v>1</v>
      </c>
      <c r="AA732" s="4" t="s">
        <v>120</v>
      </c>
      <c r="AC732" s="176">
        <f t="shared" si="103"/>
        <v>9.0909090909090909E-4</v>
      </c>
      <c r="AD732"/>
    </row>
    <row r="733" spans="2:30">
      <c r="B733" s="183">
        <f t="shared" si="108"/>
        <v>22</v>
      </c>
      <c r="C733" s="107" t="str">
        <f t="shared" si="109"/>
        <v>ATK</v>
      </c>
      <c r="D733" s="2" t="s">
        <v>2008</v>
      </c>
      <c r="E733" s="3">
        <v>43977</v>
      </c>
      <c r="F733" s="3">
        <v>43977</v>
      </c>
      <c r="G733" s="108">
        <f t="shared" si="110"/>
        <v>5</v>
      </c>
      <c r="H733" s="108" t="str">
        <f t="shared" si="111"/>
        <v>완료</v>
      </c>
      <c r="I733" s="112" t="s">
        <v>218</v>
      </c>
      <c r="J733" s="4" t="s">
        <v>118</v>
      </c>
      <c r="K733" s="5" t="s">
        <v>134</v>
      </c>
      <c r="L733" s="6" t="str">
        <f t="shared" si="106"/>
        <v>2T1</v>
      </c>
      <c r="M733" s="13" t="s">
        <v>2011</v>
      </c>
      <c r="N733" s="7" t="s">
        <v>3789</v>
      </c>
      <c r="O733" s="13" t="s">
        <v>339</v>
      </c>
      <c r="P733" s="115" t="s">
        <v>2009</v>
      </c>
      <c r="Q733" s="8" t="s">
        <v>2010</v>
      </c>
      <c r="R733" s="2">
        <v>1</v>
      </c>
      <c r="S733" s="9">
        <v>4500</v>
      </c>
      <c r="T733" s="10">
        <f t="shared" si="104"/>
        <v>2250</v>
      </c>
      <c r="U733" s="9">
        <v>2</v>
      </c>
      <c r="V733" s="10">
        <f t="shared" si="105"/>
        <v>2248</v>
      </c>
      <c r="W733" s="4" t="s">
        <v>122</v>
      </c>
      <c r="X733" s="2"/>
      <c r="Y733" s="11">
        <v>3</v>
      </c>
      <c r="Z733" s="12">
        <f t="shared" si="107"/>
        <v>0</v>
      </c>
      <c r="AA733" s="4" t="s">
        <v>120</v>
      </c>
      <c r="AC733" s="176">
        <f t="shared" si="103"/>
        <v>1.8181818181818182E-3</v>
      </c>
      <c r="AD733"/>
    </row>
    <row r="734" spans="2:30">
      <c r="B734" s="183">
        <f t="shared" si="108"/>
        <v>22</v>
      </c>
      <c r="C734" s="107" t="str">
        <f t="shared" si="109"/>
        <v>ATK</v>
      </c>
      <c r="D734" s="2" t="s">
        <v>541</v>
      </c>
      <c r="E734" s="3">
        <v>43976</v>
      </c>
      <c r="F734" s="3">
        <v>43977</v>
      </c>
      <c r="G734" s="108">
        <f t="shared" si="110"/>
        <v>5</v>
      </c>
      <c r="H734" s="108" t="str">
        <f t="shared" si="111"/>
        <v>완료</v>
      </c>
      <c r="I734" s="112" t="s">
        <v>218</v>
      </c>
      <c r="J734" s="4" t="s">
        <v>132</v>
      </c>
      <c r="K734" s="5" t="s">
        <v>322</v>
      </c>
      <c r="L734" s="6" t="str">
        <f t="shared" si="106"/>
        <v>3T1</v>
      </c>
      <c r="M734" s="13" t="s">
        <v>2012</v>
      </c>
      <c r="N734" s="7"/>
      <c r="O734" s="13" t="s">
        <v>2013</v>
      </c>
      <c r="P734" s="115" t="s">
        <v>2014</v>
      </c>
      <c r="Q734" s="8"/>
      <c r="R734" s="2">
        <v>1</v>
      </c>
      <c r="S734" s="9">
        <v>1200</v>
      </c>
      <c r="T734" s="10">
        <f t="shared" si="104"/>
        <v>600</v>
      </c>
      <c r="U734" s="9">
        <v>0</v>
      </c>
      <c r="V734" s="10">
        <f t="shared" si="105"/>
        <v>600</v>
      </c>
      <c r="W734" s="4" t="s">
        <v>122</v>
      </c>
      <c r="X734" s="2"/>
      <c r="Y734" s="11">
        <v>3</v>
      </c>
      <c r="Z734" s="12">
        <f t="shared" si="107"/>
        <v>1</v>
      </c>
      <c r="AA734" s="4" t="s">
        <v>120</v>
      </c>
      <c r="AC734" s="176">
        <f t="shared" si="103"/>
        <v>0</v>
      </c>
      <c r="AD734"/>
    </row>
    <row r="735" spans="2:30">
      <c r="B735" s="183">
        <f t="shared" si="108"/>
        <v>22</v>
      </c>
      <c r="C735" s="107" t="str">
        <f t="shared" si="109"/>
        <v>ATK</v>
      </c>
      <c r="D735" s="2" t="s">
        <v>2015</v>
      </c>
      <c r="E735" s="3">
        <v>43976</v>
      </c>
      <c r="F735" s="3">
        <v>43977</v>
      </c>
      <c r="G735" s="108">
        <f t="shared" si="110"/>
        <v>5</v>
      </c>
      <c r="H735" s="108" t="str">
        <f t="shared" si="111"/>
        <v>완료</v>
      </c>
      <c r="I735" s="112" t="s">
        <v>218</v>
      </c>
      <c r="J735" s="4" t="s">
        <v>139</v>
      </c>
      <c r="K735" s="5" t="s">
        <v>466</v>
      </c>
      <c r="L735" s="6" t="str">
        <f t="shared" si="106"/>
        <v>6T2</v>
      </c>
      <c r="M735" s="13" t="s">
        <v>2016</v>
      </c>
      <c r="N735" s="7" t="s">
        <v>3790</v>
      </c>
      <c r="O735" s="13" t="s">
        <v>284</v>
      </c>
      <c r="P735" s="115" t="s">
        <v>2017</v>
      </c>
      <c r="Q735" s="8"/>
      <c r="R735" s="2">
        <v>2</v>
      </c>
      <c r="S735" s="9">
        <v>1000</v>
      </c>
      <c r="T735" s="10">
        <f t="shared" si="104"/>
        <v>1000</v>
      </c>
      <c r="U735" s="9"/>
      <c r="V735" s="10">
        <f t="shared" si="105"/>
        <v>1000</v>
      </c>
      <c r="W735" s="4" t="s">
        <v>122</v>
      </c>
      <c r="X735" s="2"/>
      <c r="Y735" s="11">
        <v>12</v>
      </c>
      <c r="Z735" s="12">
        <f t="shared" si="107"/>
        <v>1</v>
      </c>
      <c r="AA735" s="4" t="s">
        <v>212</v>
      </c>
      <c r="AC735" s="176">
        <f t="shared" si="103"/>
        <v>0</v>
      </c>
      <c r="AD735"/>
    </row>
    <row r="736" spans="2:30">
      <c r="B736" s="183">
        <f t="shared" si="108"/>
        <v>22</v>
      </c>
      <c r="C736" s="107" t="str">
        <f t="shared" si="109"/>
        <v>ATK</v>
      </c>
      <c r="D736" s="2" t="s">
        <v>2018</v>
      </c>
      <c r="E736" s="3">
        <v>43977</v>
      </c>
      <c r="F736" s="3">
        <v>43978</v>
      </c>
      <c r="G736" s="108">
        <f t="shared" si="110"/>
        <v>5</v>
      </c>
      <c r="H736" s="108" t="str">
        <f t="shared" si="111"/>
        <v>완료</v>
      </c>
      <c r="I736" s="112" t="s">
        <v>218</v>
      </c>
      <c r="J736" s="4" t="s">
        <v>2019</v>
      </c>
      <c r="K736" s="5" t="s">
        <v>2020</v>
      </c>
      <c r="L736" s="6" t="str">
        <f t="shared" si="106"/>
        <v>3T4</v>
      </c>
      <c r="M736" s="13" t="s">
        <v>270</v>
      </c>
      <c r="N736" s="7" t="s">
        <v>3791</v>
      </c>
      <c r="O736" s="13" t="s">
        <v>339</v>
      </c>
      <c r="P736" s="115" t="s">
        <v>2021</v>
      </c>
      <c r="Q736" s="8"/>
      <c r="R736" s="2">
        <v>1</v>
      </c>
      <c r="S736" s="9">
        <v>1800</v>
      </c>
      <c r="T736" s="10">
        <f t="shared" si="104"/>
        <v>900</v>
      </c>
      <c r="U736" s="9">
        <v>25</v>
      </c>
      <c r="V736" s="10">
        <f t="shared" si="105"/>
        <v>875</v>
      </c>
      <c r="W736" s="4" t="s">
        <v>2022</v>
      </c>
      <c r="X736" s="2"/>
      <c r="Y736" s="11">
        <v>3</v>
      </c>
      <c r="Z736" s="12">
        <f t="shared" si="107"/>
        <v>1</v>
      </c>
      <c r="AA736" s="4" t="s">
        <v>2023</v>
      </c>
      <c r="AC736" s="176">
        <f t="shared" si="103"/>
        <v>2.2727272727272728E-2</v>
      </c>
      <c r="AD736"/>
    </row>
    <row r="737" spans="2:30">
      <c r="B737" s="183">
        <f t="shared" si="108"/>
        <v>26</v>
      </c>
      <c r="C737" s="107" t="str">
        <f t="shared" si="109"/>
        <v>ATK</v>
      </c>
      <c r="D737" s="2" t="s">
        <v>773</v>
      </c>
      <c r="E737" s="3">
        <v>43977</v>
      </c>
      <c r="F737" s="3">
        <v>44007</v>
      </c>
      <c r="G737" s="108">
        <f t="shared" si="110"/>
        <v>6</v>
      </c>
      <c r="H737" s="108" t="str">
        <f t="shared" si="111"/>
        <v>완료</v>
      </c>
      <c r="I737" s="112" t="s">
        <v>218</v>
      </c>
      <c r="J737" s="4" t="s">
        <v>132</v>
      </c>
      <c r="K737" s="5" t="s">
        <v>322</v>
      </c>
      <c r="L737" s="6" t="str">
        <f t="shared" si="106"/>
        <v>3T1</v>
      </c>
      <c r="M737" s="13" t="s">
        <v>226</v>
      </c>
      <c r="N737" s="7" t="s">
        <v>3792</v>
      </c>
      <c r="O737" s="13" t="s">
        <v>225</v>
      </c>
      <c r="P737" s="115" t="s">
        <v>2024</v>
      </c>
      <c r="Q737" s="8"/>
      <c r="R737" s="2">
        <v>1</v>
      </c>
      <c r="S737" s="9">
        <v>5000</v>
      </c>
      <c r="T737" s="10">
        <f t="shared" si="104"/>
        <v>2500</v>
      </c>
      <c r="U737" s="9">
        <v>100</v>
      </c>
      <c r="V737" s="10">
        <f t="shared" si="105"/>
        <v>2400</v>
      </c>
      <c r="W737" s="4" t="s">
        <v>249</v>
      </c>
      <c r="X737" s="2"/>
      <c r="Y737" s="11">
        <v>8</v>
      </c>
      <c r="Z737" s="12">
        <f t="shared" si="107"/>
        <v>30</v>
      </c>
      <c r="AA737" s="4" t="s">
        <v>27</v>
      </c>
      <c r="AC737" s="176">
        <f t="shared" si="103"/>
        <v>9.0909090909090912E-2</v>
      </c>
      <c r="AD737"/>
    </row>
    <row r="738" spans="2:30">
      <c r="B738" s="183">
        <f t="shared" si="108"/>
        <v>22</v>
      </c>
      <c r="C738" s="107" t="str">
        <f t="shared" si="109"/>
        <v>ATK</v>
      </c>
      <c r="D738" s="2" t="s">
        <v>2025</v>
      </c>
      <c r="E738" s="3">
        <v>43978</v>
      </c>
      <c r="F738" s="3">
        <v>43978</v>
      </c>
      <c r="G738" s="108">
        <f t="shared" si="110"/>
        <v>5</v>
      </c>
      <c r="H738" s="108" t="str">
        <f t="shared" si="111"/>
        <v>완료</v>
      </c>
      <c r="I738" s="112" t="s">
        <v>264</v>
      </c>
      <c r="J738" s="4" t="s">
        <v>265</v>
      </c>
      <c r="K738" s="5" t="s">
        <v>793</v>
      </c>
      <c r="L738" s="6" t="str">
        <f t="shared" si="106"/>
        <v>3T3</v>
      </c>
      <c r="M738" s="13" t="s">
        <v>207</v>
      </c>
      <c r="N738" s="7" t="s">
        <v>3736</v>
      </c>
      <c r="O738" s="13" t="s">
        <v>339</v>
      </c>
      <c r="P738" s="115" t="s">
        <v>2026</v>
      </c>
      <c r="Q738" s="8"/>
      <c r="R738" s="2">
        <v>1</v>
      </c>
      <c r="S738" s="9">
        <v>1500</v>
      </c>
      <c r="T738" s="10">
        <f t="shared" ref="T738" si="114">(S738*50)/100*R738</f>
        <v>750</v>
      </c>
      <c r="U738" s="9">
        <v>25</v>
      </c>
      <c r="V738" s="10">
        <f t="shared" ref="V738" si="115">T738-U738</f>
        <v>725</v>
      </c>
      <c r="W738" s="4" t="s">
        <v>249</v>
      </c>
      <c r="X738" s="2"/>
      <c r="Y738" s="11">
        <v>3</v>
      </c>
      <c r="Z738" s="12">
        <f t="shared" si="107"/>
        <v>0</v>
      </c>
      <c r="AA738" s="4" t="s">
        <v>174</v>
      </c>
      <c r="AC738" s="176">
        <f t="shared" si="103"/>
        <v>2.2727272727272728E-2</v>
      </c>
      <c r="AD738"/>
    </row>
    <row r="739" spans="2:30">
      <c r="B739" s="183">
        <f t="shared" si="108"/>
        <v>22</v>
      </c>
      <c r="C739" s="107" t="str">
        <f t="shared" si="109"/>
        <v>ATK</v>
      </c>
      <c r="D739" s="2" t="s">
        <v>2027</v>
      </c>
      <c r="E739" s="3">
        <v>43978</v>
      </c>
      <c r="F739" s="3">
        <v>43979</v>
      </c>
      <c r="G739" s="108">
        <f t="shared" si="110"/>
        <v>5</v>
      </c>
      <c r="H739" s="108" t="str">
        <f t="shared" si="111"/>
        <v>완료</v>
      </c>
      <c r="I739" s="112" t="s">
        <v>2046</v>
      </c>
      <c r="J739" s="4" t="s">
        <v>2028</v>
      </c>
      <c r="K739" s="5" t="s">
        <v>2029</v>
      </c>
      <c r="L739" s="6" t="str">
        <f t="shared" si="106"/>
        <v>EE1</v>
      </c>
      <c r="M739" s="13" t="s">
        <v>2030</v>
      </c>
      <c r="N739" s="7" t="s">
        <v>3793</v>
      </c>
      <c r="O739" s="13" t="s">
        <v>2030</v>
      </c>
      <c r="P739" s="115" t="s">
        <v>2031</v>
      </c>
      <c r="Q739" s="8"/>
      <c r="R739" s="2">
        <v>1</v>
      </c>
      <c r="S739" s="9">
        <v>800</v>
      </c>
      <c r="T739" s="10">
        <f t="shared" si="104"/>
        <v>400</v>
      </c>
      <c r="U739" s="9">
        <v>25</v>
      </c>
      <c r="V739" s="10">
        <f t="shared" si="105"/>
        <v>375</v>
      </c>
      <c r="W739" s="4" t="s">
        <v>2032</v>
      </c>
      <c r="X739" s="2"/>
      <c r="Y739" s="11">
        <v>3</v>
      </c>
      <c r="Z739" s="12">
        <f t="shared" si="107"/>
        <v>1</v>
      </c>
      <c r="AA739" s="4" t="s">
        <v>2033</v>
      </c>
      <c r="AC739" s="176">
        <f t="shared" si="103"/>
        <v>2.2727272727272728E-2</v>
      </c>
      <c r="AD739"/>
    </row>
    <row r="740" spans="2:30">
      <c r="B740" s="183">
        <f t="shared" si="108"/>
        <v>22</v>
      </c>
      <c r="C740" s="107" t="str">
        <f t="shared" si="109"/>
        <v>ATK</v>
      </c>
      <c r="D740" s="2" t="s">
        <v>2034</v>
      </c>
      <c r="E740" s="3">
        <v>43978</v>
      </c>
      <c r="F740" s="3">
        <v>43978</v>
      </c>
      <c r="G740" s="108">
        <f t="shared" si="110"/>
        <v>5</v>
      </c>
      <c r="H740" s="108" t="str">
        <f t="shared" si="111"/>
        <v>완료</v>
      </c>
      <c r="I740" s="112" t="s">
        <v>218</v>
      </c>
      <c r="J740" s="4" t="s">
        <v>115</v>
      </c>
      <c r="K740" s="5" t="s">
        <v>116</v>
      </c>
      <c r="L740" s="6" t="str">
        <f t="shared" si="106"/>
        <v>EE2</v>
      </c>
      <c r="M740" s="13" t="s">
        <v>1894</v>
      </c>
      <c r="N740" s="7"/>
      <c r="O740" s="13" t="s">
        <v>225</v>
      </c>
      <c r="P740" s="115" t="s">
        <v>330</v>
      </c>
      <c r="Q740" s="8"/>
      <c r="R740" s="2">
        <v>1</v>
      </c>
      <c r="S740" s="9">
        <v>2500</v>
      </c>
      <c r="T740" s="10">
        <f t="shared" si="104"/>
        <v>1250</v>
      </c>
      <c r="U740" s="9">
        <v>2</v>
      </c>
      <c r="V740" s="10">
        <f t="shared" si="105"/>
        <v>1248</v>
      </c>
      <c r="W740" s="4" t="s">
        <v>122</v>
      </c>
      <c r="X740" s="2"/>
      <c r="Y740" s="11">
        <v>1</v>
      </c>
      <c r="Z740" s="12">
        <f t="shared" si="107"/>
        <v>0</v>
      </c>
      <c r="AA740" s="4" t="s">
        <v>117</v>
      </c>
      <c r="AC740" s="176">
        <f t="shared" si="103"/>
        <v>1.8181818181818182E-3</v>
      </c>
      <c r="AD740"/>
    </row>
    <row r="741" spans="2:30">
      <c r="B741" s="183">
        <f t="shared" si="108"/>
        <v>22</v>
      </c>
      <c r="C741" s="107" t="str">
        <f t="shared" si="109"/>
        <v>ATK</v>
      </c>
      <c r="D741" s="2" t="s">
        <v>2035</v>
      </c>
      <c r="E741" s="3">
        <v>43978</v>
      </c>
      <c r="F741" s="3">
        <v>43978</v>
      </c>
      <c r="G741" s="108">
        <f t="shared" si="110"/>
        <v>5</v>
      </c>
      <c r="H741" s="108" t="str">
        <f t="shared" si="111"/>
        <v>완료</v>
      </c>
      <c r="I741" s="112" t="s">
        <v>218</v>
      </c>
      <c r="J741" s="4" t="s">
        <v>115</v>
      </c>
      <c r="K741" s="5" t="s">
        <v>116</v>
      </c>
      <c r="L741" s="6" t="str">
        <f t="shared" si="106"/>
        <v>EE2</v>
      </c>
      <c r="M741" s="13" t="s">
        <v>2036</v>
      </c>
      <c r="N741" s="7"/>
      <c r="O741" s="13" t="s">
        <v>1440</v>
      </c>
      <c r="P741" s="115" t="s">
        <v>2037</v>
      </c>
      <c r="Q741" s="8"/>
      <c r="R741" s="2">
        <v>3</v>
      </c>
      <c r="S741" s="9">
        <v>500</v>
      </c>
      <c r="T741" s="10">
        <f t="shared" si="104"/>
        <v>750</v>
      </c>
      <c r="U741" s="9">
        <v>10</v>
      </c>
      <c r="V741" s="10">
        <f t="shared" si="105"/>
        <v>740</v>
      </c>
      <c r="W741" s="4" t="s">
        <v>122</v>
      </c>
      <c r="X741" s="2"/>
      <c r="Y741" s="11">
        <v>5</v>
      </c>
      <c r="Z741" s="12">
        <f t="shared" si="107"/>
        <v>0</v>
      </c>
      <c r="AA741" s="4" t="s">
        <v>259</v>
      </c>
      <c r="AC741" s="176">
        <f t="shared" si="103"/>
        <v>9.0909090909090905E-3</v>
      </c>
      <c r="AD741"/>
    </row>
    <row r="742" spans="2:30">
      <c r="B742" s="183">
        <f t="shared" si="108"/>
        <v>22</v>
      </c>
      <c r="C742" s="107" t="str">
        <f t="shared" si="109"/>
        <v>ATK</v>
      </c>
      <c r="D742" s="2" t="s">
        <v>1306</v>
      </c>
      <c r="E742" s="3">
        <v>43978</v>
      </c>
      <c r="F742" s="3">
        <v>43978</v>
      </c>
      <c r="G742" s="108">
        <f t="shared" si="110"/>
        <v>5</v>
      </c>
      <c r="H742" s="108" t="str">
        <f t="shared" si="111"/>
        <v>완료</v>
      </c>
      <c r="I742" s="112" t="s">
        <v>218</v>
      </c>
      <c r="J742" s="4" t="s">
        <v>121</v>
      </c>
      <c r="K742" s="5" t="s">
        <v>136</v>
      </c>
      <c r="L742" s="6" t="str">
        <f t="shared" si="106"/>
        <v>5T1</v>
      </c>
      <c r="M742" s="13" t="s">
        <v>226</v>
      </c>
      <c r="N742" s="7" t="s">
        <v>140</v>
      </c>
      <c r="O742" s="13" t="s">
        <v>2038</v>
      </c>
      <c r="P742" s="115" t="s">
        <v>2039</v>
      </c>
      <c r="Q742" s="8"/>
      <c r="R742" s="2">
        <v>2</v>
      </c>
      <c r="S742" s="9">
        <v>200</v>
      </c>
      <c r="T742" s="10">
        <f t="shared" si="104"/>
        <v>200</v>
      </c>
      <c r="U742" s="9">
        <v>0</v>
      </c>
      <c r="V742" s="10">
        <f t="shared" si="105"/>
        <v>200</v>
      </c>
      <c r="W742" s="4" t="s">
        <v>122</v>
      </c>
      <c r="X742" s="2"/>
      <c r="Y742" s="11">
        <v>3</v>
      </c>
      <c r="Z742" s="12">
        <f t="shared" si="107"/>
        <v>0</v>
      </c>
      <c r="AA742" s="4" t="s">
        <v>27</v>
      </c>
      <c r="AC742" s="176">
        <f t="shared" si="103"/>
        <v>0</v>
      </c>
      <c r="AD742"/>
    </row>
    <row r="743" spans="2:30">
      <c r="B743" s="183">
        <f t="shared" si="108"/>
        <v>22</v>
      </c>
      <c r="C743" s="107" t="str">
        <f t="shared" si="109"/>
        <v>ATK</v>
      </c>
      <c r="D743" s="2" t="s">
        <v>1815</v>
      </c>
      <c r="E743" s="3">
        <v>43976</v>
      </c>
      <c r="F743" s="3">
        <v>43979</v>
      </c>
      <c r="G743" s="108">
        <f t="shared" si="110"/>
        <v>5</v>
      </c>
      <c r="H743" s="108" t="str">
        <f t="shared" si="111"/>
        <v>Other</v>
      </c>
      <c r="I743" s="112" t="s">
        <v>251</v>
      </c>
      <c r="J743" s="4" t="s">
        <v>281</v>
      </c>
      <c r="K743" s="5" t="s">
        <v>282</v>
      </c>
      <c r="L743" s="6" t="str">
        <f t="shared" si="106"/>
        <v>EE1</v>
      </c>
      <c r="M743" s="13" t="s">
        <v>226</v>
      </c>
      <c r="N743" s="7" t="s">
        <v>140</v>
      </c>
      <c r="O743" s="13" t="s">
        <v>2040</v>
      </c>
      <c r="P743" s="115" t="s">
        <v>2041</v>
      </c>
      <c r="Q743" s="8"/>
      <c r="R743" s="2">
        <v>1</v>
      </c>
      <c r="S743" s="9">
        <v>0</v>
      </c>
      <c r="T743" s="10">
        <f t="shared" si="104"/>
        <v>0</v>
      </c>
      <c r="U743" s="9">
        <v>0</v>
      </c>
      <c r="V743" s="10">
        <f t="shared" si="105"/>
        <v>0</v>
      </c>
      <c r="W743" s="4" t="s">
        <v>122</v>
      </c>
      <c r="X743" s="2"/>
      <c r="Y743" s="11">
        <v>16</v>
      </c>
      <c r="Z743" s="12">
        <f t="shared" si="107"/>
        <v>3</v>
      </c>
      <c r="AA743" s="4" t="s">
        <v>27</v>
      </c>
      <c r="AC743" s="176">
        <f t="shared" si="103"/>
        <v>0</v>
      </c>
      <c r="AD743"/>
    </row>
    <row r="744" spans="2:30">
      <c r="B744" s="183">
        <f t="shared" si="108"/>
        <v>22</v>
      </c>
      <c r="C744" s="107" t="str">
        <f t="shared" si="109"/>
        <v>ATK</v>
      </c>
      <c r="D744" s="2" t="s">
        <v>291</v>
      </c>
      <c r="E744" s="3">
        <v>43979</v>
      </c>
      <c r="F744" s="3">
        <v>43979</v>
      </c>
      <c r="G744" s="108">
        <f t="shared" si="110"/>
        <v>5</v>
      </c>
      <c r="H744" s="108" t="str">
        <f t="shared" si="111"/>
        <v>완료</v>
      </c>
      <c r="I744" s="112" t="s">
        <v>218</v>
      </c>
      <c r="J744" s="4" t="s">
        <v>132</v>
      </c>
      <c r="K744" s="5" t="s">
        <v>133</v>
      </c>
      <c r="L744" s="6" t="str">
        <f t="shared" si="106"/>
        <v>3T3</v>
      </c>
      <c r="M744" s="13" t="s">
        <v>1178</v>
      </c>
      <c r="N744" s="7" t="s">
        <v>2042</v>
      </c>
      <c r="O744" s="13" t="s">
        <v>2042</v>
      </c>
      <c r="P744" s="115" t="s">
        <v>2043</v>
      </c>
      <c r="Q744" s="8"/>
      <c r="R744" s="2">
        <v>1</v>
      </c>
      <c r="S744" s="9">
        <v>500</v>
      </c>
      <c r="T744" s="10">
        <f t="shared" si="104"/>
        <v>250</v>
      </c>
      <c r="U744" s="9">
        <v>0</v>
      </c>
      <c r="V744" s="10">
        <f t="shared" si="105"/>
        <v>250</v>
      </c>
      <c r="W744" s="4" t="s">
        <v>122</v>
      </c>
      <c r="X744" s="2"/>
      <c r="Y744" s="11">
        <v>4</v>
      </c>
      <c r="Z744" s="12">
        <f t="shared" si="107"/>
        <v>0</v>
      </c>
      <c r="AA744" s="4" t="s">
        <v>212</v>
      </c>
      <c r="AC744" s="176">
        <f t="shared" si="103"/>
        <v>0</v>
      </c>
      <c r="AD744"/>
    </row>
    <row r="745" spans="2:30">
      <c r="B745" s="183">
        <f t="shared" si="108"/>
        <v>23</v>
      </c>
      <c r="C745" s="107" t="str">
        <f t="shared" si="109"/>
        <v>ATK</v>
      </c>
      <c r="D745" s="2" t="s">
        <v>664</v>
      </c>
      <c r="E745" s="3">
        <v>43962</v>
      </c>
      <c r="F745" s="3">
        <v>43987</v>
      </c>
      <c r="G745" s="108">
        <f t="shared" si="110"/>
        <v>6</v>
      </c>
      <c r="H745" s="108" t="str">
        <f t="shared" si="111"/>
        <v>완료</v>
      </c>
      <c r="I745" s="112" t="s">
        <v>514</v>
      </c>
      <c r="J745" s="4" t="s">
        <v>808</v>
      </c>
      <c r="K745" s="5" t="s">
        <v>833</v>
      </c>
      <c r="L745" s="6" t="str">
        <f t="shared" si="106"/>
        <v>1T3</v>
      </c>
      <c r="M745" s="13" t="s">
        <v>226</v>
      </c>
      <c r="N745" s="7" t="s">
        <v>3738</v>
      </c>
      <c r="O745" s="13" t="s">
        <v>225</v>
      </c>
      <c r="P745" s="115" t="s">
        <v>330</v>
      </c>
      <c r="Q745" s="8" t="s">
        <v>2071</v>
      </c>
      <c r="R745" s="2">
        <v>1</v>
      </c>
      <c r="S745" s="9">
        <v>10000</v>
      </c>
      <c r="T745" s="10">
        <f t="shared" si="104"/>
        <v>5000</v>
      </c>
      <c r="U745" s="9">
        <v>600</v>
      </c>
      <c r="V745" s="10">
        <f t="shared" si="105"/>
        <v>4400</v>
      </c>
      <c r="W745" s="4" t="s">
        <v>326</v>
      </c>
      <c r="X745" s="2" t="s">
        <v>29</v>
      </c>
      <c r="Y745" s="11">
        <v>8</v>
      </c>
      <c r="Z745" s="12">
        <f t="shared" si="107"/>
        <v>25</v>
      </c>
      <c r="AA745" s="4" t="s">
        <v>27</v>
      </c>
      <c r="AC745" s="176">
        <f t="shared" si="103"/>
        <v>0.54545454545454541</v>
      </c>
      <c r="AD745"/>
    </row>
    <row r="746" spans="2:30">
      <c r="B746" s="183">
        <f t="shared" si="108"/>
        <v>22</v>
      </c>
      <c r="C746" s="107" t="str">
        <f t="shared" si="109"/>
        <v>ATK</v>
      </c>
      <c r="D746" s="2" t="s">
        <v>2048</v>
      </c>
      <c r="E746" s="3">
        <v>43979</v>
      </c>
      <c r="F746" s="3">
        <v>43979</v>
      </c>
      <c r="G746" s="108">
        <f t="shared" si="110"/>
        <v>5</v>
      </c>
      <c r="H746" s="108" t="str">
        <f t="shared" si="111"/>
        <v>완료</v>
      </c>
      <c r="I746" s="112" t="s">
        <v>218</v>
      </c>
      <c r="J746" s="4" t="s">
        <v>132</v>
      </c>
      <c r="K746" s="5" t="s">
        <v>143</v>
      </c>
      <c r="L746" s="6" t="str">
        <f t="shared" si="106"/>
        <v>3T4</v>
      </c>
      <c r="M746" s="13" t="s">
        <v>2049</v>
      </c>
      <c r="N746" s="7"/>
      <c r="O746" s="13" t="s">
        <v>2050</v>
      </c>
      <c r="P746" s="115"/>
      <c r="Q746" s="8"/>
      <c r="R746" s="2">
        <v>1</v>
      </c>
      <c r="S746" s="9">
        <v>700</v>
      </c>
      <c r="T746" s="10">
        <f t="shared" si="104"/>
        <v>350</v>
      </c>
      <c r="U746" s="9">
        <v>1</v>
      </c>
      <c r="V746" s="10">
        <f t="shared" si="105"/>
        <v>349</v>
      </c>
      <c r="W746" s="4" t="s">
        <v>122</v>
      </c>
      <c r="X746" s="2"/>
      <c r="Y746" s="11">
        <v>1</v>
      </c>
      <c r="Z746" s="12">
        <f t="shared" si="107"/>
        <v>0</v>
      </c>
      <c r="AA746" s="4" t="s">
        <v>117</v>
      </c>
      <c r="AC746" s="176">
        <f t="shared" si="103"/>
        <v>9.0909090909090909E-4</v>
      </c>
      <c r="AD746"/>
    </row>
    <row r="747" spans="2:30">
      <c r="B747" s="183">
        <f t="shared" si="108"/>
        <v>22</v>
      </c>
      <c r="C747" s="107" t="str">
        <f t="shared" si="109"/>
        <v>ATK</v>
      </c>
      <c r="D747" s="2" t="s">
        <v>2047</v>
      </c>
      <c r="E747" s="3">
        <v>43979</v>
      </c>
      <c r="F747" s="3">
        <v>43979</v>
      </c>
      <c r="G747" s="108">
        <f t="shared" si="110"/>
        <v>5</v>
      </c>
      <c r="H747" s="108" t="str">
        <f t="shared" si="111"/>
        <v>완료</v>
      </c>
      <c r="I747" s="112" t="s">
        <v>218</v>
      </c>
      <c r="J747" s="4" t="s">
        <v>115</v>
      </c>
      <c r="K747" s="5" t="s">
        <v>116</v>
      </c>
      <c r="L747" s="6" t="str">
        <f t="shared" si="106"/>
        <v>EE2</v>
      </c>
      <c r="M747" s="13" t="s">
        <v>226</v>
      </c>
      <c r="N747" s="7"/>
      <c r="O747" s="13" t="s">
        <v>1725</v>
      </c>
      <c r="P747" s="115"/>
      <c r="Q747" s="8"/>
      <c r="R747" s="2">
        <v>1</v>
      </c>
      <c r="S747" s="9">
        <v>3000</v>
      </c>
      <c r="T747" s="10">
        <f t="shared" si="104"/>
        <v>1500</v>
      </c>
      <c r="U747" s="9">
        <v>5</v>
      </c>
      <c r="V747" s="10">
        <f t="shared" si="105"/>
        <v>1495</v>
      </c>
      <c r="W747" s="4" t="s">
        <v>122</v>
      </c>
      <c r="X747" s="2"/>
      <c r="Y747" s="11">
        <v>1</v>
      </c>
      <c r="Z747" s="12">
        <f t="shared" si="107"/>
        <v>0</v>
      </c>
      <c r="AA747" s="4" t="s">
        <v>117</v>
      </c>
      <c r="AC747" s="176">
        <f t="shared" si="103"/>
        <v>4.5454545454545452E-3</v>
      </c>
      <c r="AD747"/>
    </row>
    <row r="748" spans="2:30">
      <c r="B748" s="183">
        <f t="shared" si="108"/>
        <v>22</v>
      </c>
      <c r="C748" s="107" t="str">
        <f t="shared" si="109"/>
        <v>ATK</v>
      </c>
      <c r="D748" s="2" t="s">
        <v>1815</v>
      </c>
      <c r="E748" s="3">
        <v>43976</v>
      </c>
      <c r="F748" s="3">
        <v>43979</v>
      </c>
      <c r="G748" s="108">
        <f t="shared" si="110"/>
        <v>5</v>
      </c>
      <c r="H748" s="108" t="str">
        <f t="shared" si="111"/>
        <v>Other</v>
      </c>
      <c r="I748" s="112" t="s">
        <v>251</v>
      </c>
      <c r="J748" s="4" t="s">
        <v>281</v>
      </c>
      <c r="K748" s="5" t="s">
        <v>282</v>
      </c>
      <c r="L748" s="6" t="str">
        <f t="shared" si="106"/>
        <v>EE1</v>
      </c>
      <c r="M748" s="13" t="s">
        <v>226</v>
      </c>
      <c r="N748" s="7" t="s">
        <v>140</v>
      </c>
      <c r="O748" s="13" t="s">
        <v>2040</v>
      </c>
      <c r="P748" s="115" t="s">
        <v>2041</v>
      </c>
      <c r="Q748" s="8"/>
      <c r="R748" s="2">
        <v>1</v>
      </c>
      <c r="S748" s="9">
        <v>0</v>
      </c>
      <c r="T748" s="10">
        <f t="shared" ref="T748" si="116">(S748*50)/100*R748</f>
        <v>0</v>
      </c>
      <c r="U748" s="9">
        <v>0</v>
      </c>
      <c r="V748" s="10">
        <f t="shared" ref="V748" si="117">T748-U748</f>
        <v>0</v>
      </c>
      <c r="W748" s="4" t="s">
        <v>122</v>
      </c>
      <c r="X748" s="2"/>
      <c r="Y748" s="11">
        <v>16</v>
      </c>
      <c r="Z748" s="12">
        <f t="shared" si="107"/>
        <v>3</v>
      </c>
      <c r="AA748" s="4" t="s">
        <v>117</v>
      </c>
      <c r="AC748" s="176">
        <f t="shared" si="103"/>
        <v>0</v>
      </c>
      <c r="AD748"/>
    </row>
    <row r="749" spans="2:30">
      <c r="B749" s="183">
        <f t="shared" si="108"/>
        <v>22</v>
      </c>
      <c r="C749" s="107" t="str">
        <f t="shared" si="109"/>
        <v>ATK</v>
      </c>
      <c r="D749" s="2" t="s">
        <v>704</v>
      </c>
      <c r="E749" s="3">
        <v>43979</v>
      </c>
      <c r="F749" s="3">
        <v>43979</v>
      </c>
      <c r="G749" s="108">
        <f t="shared" si="110"/>
        <v>5</v>
      </c>
      <c r="H749" s="108" t="str">
        <f t="shared" si="111"/>
        <v>완료</v>
      </c>
      <c r="I749" s="112" t="s">
        <v>218</v>
      </c>
      <c r="J749" s="4" t="s">
        <v>118</v>
      </c>
      <c r="K749" s="5" t="s">
        <v>131</v>
      </c>
      <c r="L749" s="6" t="str">
        <f t="shared" si="106"/>
        <v>1T4</v>
      </c>
      <c r="M749" s="13" t="s">
        <v>1144</v>
      </c>
      <c r="N749" s="7" t="s">
        <v>3794</v>
      </c>
      <c r="O749" s="13" t="s">
        <v>1256</v>
      </c>
      <c r="P749" s="115" t="s">
        <v>2051</v>
      </c>
      <c r="Q749" s="8"/>
      <c r="R749" s="2">
        <v>2</v>
      </c>
      <c r="S749" s="9">
        <v>500</v>
      </c>
      <c r="T749" s="10">
        <f t="shared" si="104"/>
        <v>500</v>
      </c>
      <c r="U749" s="9">
        <v>0</v>
      </c>
      <c r="V749" s="10">
        <f t="shared" si="105"/>
        <v>500</v>
      </c>
      <c r="W749" s="4" t="s">
        <v>122</v>
      </c>
      <c r="X749" s="2"/>
      <c r="Y749" s="11">
        <v>2</v>
      </c>
      <c r="Z749" s="12">
        <f t="shared" si="107"/>
        <v>0</v>
      </c>
      <c r="AA749" s="4" t="s">
        <v>120</v>
      </c>
      <c r="AC749" s="176">
        <f t="shared" si="103"/>
        <v>0</v>
      </c>
      <c r="AD749"/>
    </row>
    <row r="750" spans="2:30">
      <c r="B750" s="183">
        <f t="shared" si="108"/>
        <v>22</v>
      </c>
      <c r="C750" s="107" t="str">
        <f t="shared" si="109"/>
        <v>ATK</v>
      </c>
      <c r="D750" s="2" t="s">
        <v>2052</v>
      </c>
      <c r="E750" s="3">
        <v>43979</v>
      </c>
      <c r="F750" s="3">
        <v>43979</v>
      </c>
      <c r="G750" s="108">
        <f t="shared" si="110"/>
        <v>5</v>
      </c>
      <c r="H750" s="108" t="str">
        <f t="shared" si="111"/>
        <v>완료</v>
      </c>
      <c r="I750" s="112" t="s">
        <v>218</v>
      </c>
      <c r="J750" s="4" t="s">
        <v>127</v>
      </c>
      <c r="K750" s="5" t="s">
        <v>131</v>
      </c>
      <c r="L750" s="6" t="str">
        <f t="shared" si="106"/>
        <v>1T4</v>
      </c>
      <c r="M750" s="13" t="s">
        <v>2053</v>
      </c>
      <c r="N750" s="7" t="s">
        <v>3795</v>
      </c>
      <c r="O750" s="13" t="s">
        <v>2054</v>
      </c>
      <c r="P750" s="115" t="s">
        <v>2055</v>
      </c>
      <c r="Q750" s="8"/>
      <c r="R750" s="2">
        <v>1</v>
      </c>
      <c r="S750" s="9">
        <v>1500</v>
      </c>
      <c r="T750" s="10">
        <f t="shared" si="104"/>
        <v>750</v>
      </c>
      <c r="U750" s="9">
        <v>1</v>
      </c>
      <c r="V750" s="10">
        <f t="shared" si="105"/>
        <v>749</v>
      </c>
      <c r="W750" s="4" t="s">
        <v>122</v>
      </c>
      <c r="X750" s="2"/>
      <c r="Y750" s="11">
        <v>2</v>
      </c>
      <c r="Z750" s="12">
        <f t="shared" si="107"/>
        <v>0</v>
      </c>
      <c r="AA750" s="4" t="s">
        <v>120</v>
      </c>
      <c r="AC750" s="176">
        <f t="shared" si="103"/>
        <v>9.0909090909090909E-4</v>
      </c>
      <c r="AD750"/>
    </row>
    <row r="751" spans="2:30">
      <c r="B751" s="183">
        <f t="shared" si="108"/>
        <v>22</v>
      </c>
      <c r="C751" s="107" t="str">
        <f t="shared" si="109"/>
        <v>ATK</v>
      </c>
      <c r="D751" s="2" t="s">
        <v>598</v>
      </c>
      <c r="E751" s="3">
        <v>43979</v>
      </c>
      <c r="F751" s="3">
        <v>43979</v>
      </c>
      <c r="G751" s="108">
        <f t="shared" si="110"/>
        <v>5</v>
      </c>
      <c r="H751" s="108" t="str">
        <f t="shared" si="111"/>
        <v>완료</v>
      </c>
      <c r="I751" s="112" t="s">
        <v>218</v>
      </c>
      <c r="J751" s="4" t="s">
        <v>281</v>
      </c>
      <c r="K751" s="5" t="s">
        <v>282</v>
      </c>
      <c r="L751" s="6" t="str">
        <f t="shared" si="106"/>
        <v>EE1</v>
      </c>
      <c r="M751" s="13" t="s">
        <v>226</v>
      </c>
      <c r="N751" s="7" t="s">
        <v>3796</v>
      </c>
      <c r="O751" s="13" t="s">
        <v>1121</v>
      </c>
      <c r="P751" s="115" t="s">
        <v>2056</v>
      </c>
      <c r="Q751" s="8"/>
      <c r="R751" s="2">
        <v>1</v>
      </c>
      <c r="S751" s="9">
        <v>4000</v>
      </c>
      <c r="T751" s="10">
        <f t="shared" si="104"/>
        <v>2000</v>
      </c>
      <c r="U751" s="9">
        <v>20</v>
      </c>
      <c r="V751" s="10">
        <f t="shared" si="105"/>
        <v>1980</v>
      </c>
      <c r="W751" s="4" t="s">
        <v>122</v>
      </c>
      <c r="X751" s="2"/>
      <c r="Y751" s="11">
        <v>4</v>
      </c>
      <c r="Z751" s="12">
        <f t="shared" si="107"/>
        <v>0</v>
      </c>
      <c r="AA751" s="4" t="s">
        <v>120</v>
      </c>
      <c r="AC751" s="176">
        <f t="shared" si="103"/>
        <v>1.8181818181818181E-2</v>
      </c>
      <c r="AD751"/>
    </row>
    <row r="752" spans="2:30">
      <c r="B752" s="183">
        <f t="shared" si="108"/>
        <v>22</v>
      </c>
      <c r="C752" s="107" t="str">
        <f t="shared" si="109"/>
        <v>ATK</v>
      </c>
      <c r="D752" s="2" t="s">
        <v>2057</v>
      </c>
      <c r="E752" s="3">
        <v>43979</v>
      </c>
      <c r="F752" s="3">
        <v>43979</v>
      </c>
      <c r="G752" s="108">
        <f t="shared" si="110"/>
        <v>5</v>
      </c>
      <c r="H752" s="108" t="str">
        <f t="shared" si="111"/>
        <v>완료</v>
      </c>
      <c r="I752" s="112" t="s">
        <v>218</v>
      </c>
      <c r="J752" s="4" t="s">
        <v>139</v>
      </c>
      <c r="K752" s="5" t="s">
        <v>177</v>
      </c>
      <c r="L752" s="6" t="str">
        <f t="shared" si="106"/>
        <v>Bum</v>
      </c>
      <c r="M752" s="13" t="s">
        <v>2058</v>
      </c>
      <c r="N752" s="7" t="s">
        <v>3797</v>
      </c>
      <c r="O752" s="13" t="s">
        <v>2059</v>
      </c>
      <c r="P752" s="115" t="s">
        <v>2060</v>
      </c>
      <c r="Q752" s="8"/>
      <c r="R752" s="2">
        <v>2</v>
      </c>
      <c r="S752" s="9">
        <v>2000</v>
      </c>
      <c r="T752" s="10">
        <f t="shared" ref="T752:T814" si="118">(S752*50)/100*R752</f>
        <v>2000</v>
      </c>
      <c r="U752" s="9">
        <v>0</v>
      </c>
      <c r="V752" s="10">
        <f t="shared" ref="V752:V814" si="119">T752-U752</f>
        <v>2000</v>
      </c>
      <c r="W752" s="4" t="s">
        <v>4126</v>
      </c>
      <c r="X752" s="2"/>
      <c r="Y752" s="11">
        <v>8</v>
      </c>
      <c r="Z752" s="12">
        <f t="shared" si="107"/>
        <v>0</v>
      </c>
      <c r="AA752" s="4" t="s">
        <v>259</v>
      </c>
      <c r="AC752" s="176">
        <f t="shared" si="103"/>
        <v>0</v>
      </c>
      <c r="AD752"/>
    </row>
    <row r="753" spans="2:30">
      <c r="B753" s="183">
        <f t="shared" si="108"/>
        <v>22</v>
      </c>
      <c r="C753" s="107" t="str">
        <f t="shared" si="109"/>
        <v>ATK</v>
      </c>
      <c r="D753" s="2" t="s">
        <v>2061</v>
      </c>
      <c r="E753" s="3">
        <v>43979</v>
      </c>
      <c r="F753" s="3">
        <v>43979</v>
      </c>
      <c r="G753" s="108">
        <f t="shared" si="110"/>
        <v>5</v>
      </c>
      <c r="H753" s="108" t="str">
        <f t="shared" si="111"/>
        <v>완료</v>
      </c>
      <c r="I753" s="112" t="s">
        <v>218</v>
      </c>
      <c r="J753" s="4" t="s">
        <v>139</v>
      </c>
      <c r="K753" s="5" t="s">
        <v>177</v>
      </c>
      <c r="L753" s="6" t="str">
        <f t="shared" si="106"/>
        <v>Bum</v>
      </c>
      <c r="M753" s="13" t="s">
        <v>2062</v>
      </c>
      <c r="N753" s="7"/>
      <c r="O753" s="13" t="s">
        <v>2063</v>
      </c>
      <c r="P753" s="115" t="s">
        <v>2064</v>
      </c>
      <c r="Q753" s="8"/>
      <c r="R753" s="2">
        <v>1</v>
      </c>
      <c r="S753" s="9">
        <v>25000</v>
      </c>
      <c r="T753" s="10">
        <f t="shared" si="118"/>
        <v>12500</v>
      </c>
      <c r="U753" s="9">
        <v>70</v>
      </c>
      <c r="V753" s="10">
        <f t="shared" si="119"/>
        <v>12430</v>
      </c>
      <c r="W753" s="4" t="s">
        <v>122</v>
      </c>
      <c r="X753" s="2"/>
      <c r="Y753" s="11">
        <v>4</v>
      </c>
      <c r="Z753" s="12">
        <f t="shared" si="107"/>
        <v>0</v>
      </c>
      <c r="AA753" s="4" t="s">
        <v>117</v>
      </c>
      <c r="AC753" s="176">
        <f t="shared" si="103"/>
        <v>6.363636363636363E-2</v>
      </c>
      <c r="AD753"/>
    </row>
    <row r="754" spans="2:30">
      <c r="B754" s="183">
        <f t="shared" si="108"/>
        <v>22</v>
      </c>
      <c r="C754" s="107" t="str">
        <f t="shared" si="109"/>
        <v>ATK</v>
      </c>
      <c r="D754" s="2" t="s">
        <v>2065</v>
      </c>
      <c r="E754" s="3">
        <v>43980</v>
      </c>
      <c r="F754" s="3">
        <v>43980</v>
      </c>
      <c r="G754" s="108">
        <f t="shared" si="110"/>
        <v>5</v>
      </c>
      <c r="H754" s="108" t="str">
        <f t="shared" si="111"/>
        <v>완료</v>
      </c>
      <c r="I754" s="112" t="s">
        <v>218</v>
      </c>
      <c r="J754" s="4" t="s">
        <v>132</v>
      </c>
      <c r="K754" s="5" t="s">
        <v>133</v>
      </c>
      <c r="L754" s="6" t="str">
        <f t="shared" si="106"/>
        <v>3T3</v>
      </c>
      <c r="M754" s="13" t="s">
        <v>2066</v>
      </c>
      <c r="N754" s="7" t="s">
        <v>3798</v>
      </c>
      <c r="O754" s="13" t="s">
        <v>2067</v>
      </c>
      <c r="P754" s="115" t="s">
        <v>2068</v>
      </c>
      <c r="Q754" s="8"/>
      <c r="R754" s="2">
        <v>1</v>
      </c>
      <c r="S754" s="9">
        <v>900</v>
      </c>
      <c r="T754" s="10">
        <f t="shared" si="118"/>
        <v>450</v>
      </c>
      <c r="U754" s="9">
        <v>15</v>
      </c>
      <c r="V754" s="10">
        <f t="shared" si="119"/>
        <v>435</v>
      </c>
      <c r="W754" s="4" t="s">
        <v>122</v>
      </c>
      <c r="X754" s="2"/>
      <c r="Y754" s="11">
        <v>1</v>
      </c>
      <c r="Z754" s="12">
        <f t="shared" si="107"/>
        <v>0</v>
      </c>
      <c r="AA754" s="4" t="s">
        <v>117</v>
      </c>
      <c r="AC754" s="176">
        <f t="shared" si="103"/>
        <v>1.3636363636363636E-2</v>
      </c>
      <c r="AD754"/>
    </row>
    <row r="755" spans="2:30">
      <c r="B755" s="183">
        <f t="shared" si="108"/>
        <v>22</v>
      </c>
      <c r="C755" s="107" t="str">
        <f t="shared" si="109"/>
        <v>ATK</v>
      </c>
      <c r="D755" s="2" t="s">
        <v>2069</v>
      </c>
      <c r="E755" s="3">
        <v>43980</v>
      </c>
      <c r="F755" s="3">
        <v>43980</v>
      </c>
      <c r="G755" s="108">
        <f t="shared" si="110"/>
        <v>5</v>
      </c>
      <c r="H755" s="108" t="str">
        <f t="shared" si="111"/>
        <v>완료</v>
      </c>
      <c r="I755" s="112" t="s">
        <v>218</v>
      </c>
      <c r="J755" s="4" t="s">
        <v>115</v>
      </c>
      <c r="K755" s="5" t="s">
        <v>138</v>
      </c>
      <c r="L755" s="6" t="str">
        <f t="shared" si="106"/>
        <v>EE1</v>
      </c>
      <c r="M755" s="13" t="s">
        <v>2066</v>
      </c>
      <c r="N755" s="7" t="s">
        <v>3668</v>
      </c>
      <c r="O755" s="13" t="s">
        <v>2070</v>
      </c>
      <c r="P755" s="115" t="s">
        <v>1560</v>
      </c>
      <c r="Q755" s="8"/>
      <c r="R755" s="2">
        <v>1</v>
      </c>
      <c r="S755" s="9">
        <v>1500</v>
      </c>
      <c r="T755" s="10">
        <f t="shared" si="118"/>
        <v>750</v>
      </c>
      <c r="U755" s="9"/>
      <c r="V755" s="10">
        <f t="shared" si="119"/>
        <v>750</v>
      </c>
      <c r="W755" s="4" t="s">
        <v>122</v>
      </c>
      <c r="X755" s="2"/>
      <c r="Y755" s="11">
        <v>4</v>
      </c>
      <c r="Z755" s="12">
        <f t="shared" si="107"/>
        <v>0</v>
      </c>
      <c r="AA755" s="4" t="s">
        <v>212</v>
      </c>
      <c r="AC755" s="176">
        <f t="shared" si="103"/>
        <v>0</v>
      </c>
      <c r="AD755"/>
    </row>
    <row r="756" spans="2:30">
      <c r="B756" s="183">
        <f t="shared" si="108"/>
        <v>22</v>
      </c>
      <c r="C756" s="107" t="str">
        <f t="shared" si="109"/>
        <v>ATK</v>
      </c>
      <c r="D756" s="2" t="s">
        <v>1815</v>
      </c>
      <c r="E756" s="3">
        <v>43980</v>
      </c>
      <c r="F756" s="3">
        <v>43980</v>
      </c>
      <c r="G756" s="108">
        <f t="shared" si="110"/>
        <v>5</v>
      </c>
      <c r="H756" s="108" t="str">
        <f t="shared" si="111"/>
        <v>Other</v>
      </c>
      <c r="I756" s="112" t="s">
        <v>251</v>
      </c>
      <c r="J756" s="4" t="s">
        <v>281</v>
      </c>
      <c r="K756" s="5" t="s">
        <v>282</v>
      </c>
      <c r="L756" s="6" t="str">
        <f t="shared" si="106"/>
        <v>EE1</v>
      </c>
      <c r="M756" s="13" t="s">
        <v>226</v>
      </c>
      <c r="N756" s="7" t="s">
        <v>140</v>
      </c>
      <c r="O756" s="13" t="s">
        <v>2040</v>
      </c>
      <c r="P756" s="115" t="s">
        <v>2078</v>
      </c>
      <c r="Q756" s="8"/>
      <c r="R756" s="2">
        <v>1</v>
      </c>
      <c r="S756" s="9">
        <v>0</v>
      </c>
      <c r="T756" s="10">
        <f t="shared" si="118"/>
        <v>0</v>
      </c>
      <c r="U756" s="9">
        <v>0</v>
      </c>
      <c r="V756" s="10">
        <f t="shared" si="119"/>
        <v>0</v>
      </c>
      <c r="W756" s="4" t="s">
        <v>122</v>
      </c>
      <c r="X756" s="2"/>
      <c r="Y756" s="11">
        <v>4</v>
      </c>
      <c r="Z756" s="12">
        <f t="shared" si="107"/>
        <v>0</v>
      </c>
      <c r="AA756" s="4" t="s">
        <v>27</v>
      </c>
      <c r="AC756" s="176">
        <f t="shared" si="103"/>
        <v>0</v>
      </c>
      <c r="AD756"/>
    </row>
    <row r="757" spans="2:30">
      <c r="B757" s="183">
        <f t="shared" si="108"/>
        <v>22</v>
      </c>
      <c r="C757" s="107" t="str">
        <f t="shared" si="109"/>
        <v>ATK</v>
      </c>
      <c r="D757" s="2" t="s">
        <v>2072</v>
      </c>
      <c r="E757" s="3">
        <v>43980</v>
      </c>
      <c r="F757" s="3">
        <v>43980</v>
      </c>
      <c r="G757" s="108">
        <f t="shared" si="110"/>
        <v>5</v>
      </c>
      <c r="H757" s="108" t="str">
        <f t="shared" si="111"/>
        <v>완료</v>
      </c>
      <c r="I757" s="112" t="s">
        <v>218</v>
      </c>
      <c r="J757" s="4" t="s">
        <v>132</v>
      </c>
      <c r="K757" s="5" t="s">
        <v>133</v>
      </c>
      <c r="L757" s="6" t="str">
        <f t="shared" si="106"/>
        <v>3T3</v>
      </c>
      <c r="M757" s="13" t="s">
        <v>2073</v>
      </c>
      <c r="N757" s="7" t="s">
        <v>3799</v>
      </c>
      <c r="O757" s="13" t="s">
        <v>2074</v>
      </c>
      <c r="P757" s="115"/>
      <c r="Q757" s="8"/>
      <c r="R757" s="2">
        <v>2</v>
      </c>
      <c r="S757" s="9">
        <v>1000</v>
      </c>
      <c r="T757" s="10">
        <f t="shared" si="118"/>
        <v>1000</v>
      </c>
      <c r="U757" s="9">
        <v>2</v>
      </c>
      <c r="V757" s="10">
        <f t="shared" si="119"/>
        <v>998</v>
      </c>
      <c r="W757" s="4" t="s">
        <v>122</v>
      </c>
      <c r="X757" s="2"/>
      <c r="Y757" s="11">
        <v>1</v>
      </c>
      <c r="Z757" s="12">
        <f t="shared" si="107"/>
        <v>0</v>
      </c>
      <c r="AA757" s="4" t="s">
        <v>117</v>
      </c>
      <c r="AC757" s="176">
        <f t="shared" si="103"/>
        <v>1.8181818181818182E-3</v>
      </c>
      <c r="AD757"/>
    </row>
    <row r="758" spans="2:30">
      <c r="B758" s="183">
        <f t="shared" si="108"/>
        <v>23</v>
      </c>
      <c r="C758" s="107" t="str">
        <f t="shared" si="109"/>
        <v>ATK</v>
      </c>
      <c r="D758" s="2" t="s">
        <v>468</v>
      </c>
      <c r="E758" s="3">
        <v>43979</v>
      </c>
      <c r="F758" s="3">
        <v>43984</v>
      </c>
      <c r="G758" s="108">
        <f t="shared" si="110"/>
        <v>6</v>
      </c>
      <c r="H758" s="108" t="str">
        <f t="shared" si="111"/>
        <v>완료</v>
      </c>
      <c r="I758" s="112" t="s">
        <v>218</v>
      </c>
      <c r="J758" s="4" t="s">
        <v>243</v>
      </c>
      <c r="K758" s="5" t="s">
        <v>243</v>
      </c>
      <c r="L758" s="6" t="str">
        <f t="shared" si="106"/>
        <v>K5</v>
      </c>
      <c r="M758" s="13" t="s">
        <v>2075</v>
      </c>
      <c r="N758" s="7" t="s">
        <v>3800</v>
      </c>
      <c r="O758" s="13" t="s">
        <v>2076</v>
      </c>
      <c r="P758" s="115" t="s">
        <v>2077</v>
      </c>
      <c r="Q758" s="8"/>
      <c r="R758" s="2">
        <v>1</v>
      </c>
      <c r="S758" s="9">
        <v>1000</v>
      </c>
      <c r="T758" s="10">
        <f t="shared" si="118"/>
        <v>500</v>
      </c>
      <c r="U758" s="9">
        <v>0</v>
      </c>
      <c r="V758" s="10">
        <f t="shared" si="119"/>
        <v>500</v>
      </c>
      <c r="W758" s="4" t="s">
        <v>122</v>
      </c>
      <c r="X758" s="2"/>
      <c r="Y758" s="11">
        <v>8</v>
      </c>
      <c r="Z758" s="12">
        <f t="shared" si="107"/>
        <v>5</v>
      </c>
      <c r="AA758" s="4" t="s">
        <v>212</v>
      </c>
      <c r="AC758" s="176">
        <f t="shared" si="103"/>
        <v>0</v>
      </c>
      <c r="AD758"/>
    </row>
    <row r="759" spans="2:30">
      <c r="B759" s="183">
        <f t="shared" si="108"/>
        <v>22</v>
      </c>
      <c r="C759" s="107" t="str">
        <f t="shared" si="109"/>
        <v>ATK</v>
      </c>
      <c r="D759" s="2" t="s">
        <v>1815</v>
      </c>
      <c r="E759" s="3">
        <v>43980</v>
      </c>
      <c r="F759" s="3">
        <v>43980</v>
      </c>
      <c r="G759" s="108">
        <f t="shared" si="110"/>
        <v>5</v>
      </c>
      <c r="H759" s="108" t="str">
        <f t="shared" si="111"/>
        <v>Other</v>
      </c>
      <c r="I759" s="112" t="s">
        <v>251</v>
      </c>
      <c r="J759" s="4" t="s">
        <v>281</v>
      </c>
      <c r="K759" s="5" t="s">
        <v>282</v>
      </c>
      <c r="L759" s="6" t="str">
        <f t="shared" si="106"/>
        <v>EE1</v>
      </c>
      <c r="M759" s="13" t="s">
        <v>226</v>
      </c>
      <c r="N759" s="7" t="s">
        <v>140</v>
      </c>
      <c r="O759" s="13" t="s">
        <v>2040</v>
      </c>
      <c r="P759" s="115" t="s">
        <v>2078</v>
      </c>
      <c r="Q759" s="8"/>
      <c r="R759" s="2">
        <v>1</v>
      </c>
      <c r="S759" s="9">
        <v>0</v>
      </c>
      <c r="T759" s="10">
        <f t="shared" ref="T759" si="120">(S759*50)/100*R759</f>
        <v>0</v>
      </c>
      <c r="U759" s="9">
        <v>0</v>
      </c>
      <c r="V759" s="10">
        <f t="shared" ref="V759" si="121">T759-U759</f>
        <v>0</v>
      </c>
      <c r="W759" s="4" t="s">
        <v>122</v>
      </c>
      <c r="X759" s="2"/>
      <c r="Y759" s="11">
        <v>4</v>
      </c>
      <c r="Z759" s="12">
        <f t="shared" si="107"/>
        <v>0</v>
      </c>
      <c r="AA759" s="4" t="s">
        <v>30</v>
      </c>
      <c r="AC759" s="176">
        <f t="shared" ref="AC759:AC821" si="122">U759/1100</f>
        <v>0</v>
      </c>
      <c r="AD759"/>
    </row>
    <row r="760" spans="2:30">
      <c r="B760" s="183">
        <f t="shared" si="108"/>
        <v>23</v>
      </c>
      <c r="C760" s="107" t="str">
        <f t="shared" si="109"/>
        <v>ATK</v>
      </c>
      <c r="D760" s="2" t="s">
        <v>255</v>
      </c>
      <c r="E760" s="3">
        <v>43979</v>
      </c>
      <c r="F760" s="3">
        <v>43983</v>
      </c>
      <c r="G760" s="108">
        <f t="shared" si="110"/>
        <v>6</v>
      </c>
      <c r="H760" s="108" t="str">
        <f t="shared" si="111"/>
        <v>완료</v>
      </c>
      <c r="I760" s="112" t="s">
        <v>218</v>
      </c>
      <c r="J760" s="4" t="s">
        <v>808</v>
      </c>
      <c r="K760" s="5" t="s">
        <v>833</v>
      </c>
      <c r="L760" s="6" t="str">
        <f t="shared" si="106"/>
        <v>1T3</v>
      </c>
      <c r="M760" s="13" t="s">
        <v>256</v>
      </c>
      <c r="N760" s="7" t="s">
        <v>3529</v>
      </c>
      <c r="O760" s="13" t="s">
        <v>1480</v>
      </c>
      <c r="P760" s="115" t="s">
        <v>2079</v>
      </c>
      <c r="Q760" s="8"/>
      <c r="R760" s="2">
        <v>1</v>
      </c>
      <c r="S760" s="9">
        <v>600</v>
      </c>
      <c r="T760" s="10">
        <f t="shared" si="118"/>
        <v>300</v>
      </c>
      <c r="U760" s="9">
        <v>50</v>
      </c>
      <c r="V760" s="10">
        <f t="shared" si="119"/>
        <v>250</v>
      </c>
      <c r="W760" s="4" t="s">
        <v>122</v>
      </c>
      <c r="X760" s="2"/>
      <c r="Y760" s="11">
        <v>4</v>
      </c>
      <c r="Z760" s="12">
        <f t="shared" si="107"/>
        <v>4</v>
      </c>
      <c r="AA760" s="4" t="s">
        <v>27</v>
      </c>
      <c r="AC760" s="176">
        <f t="shared" si="122"/>
        <v>4.5454545454545456E-2</v>
      </c>
      <c r="AD760"/>
    </row>
    <row r="761" spans="2:30">
      <c r="B761" s="183">
        <f t="shared" si="108"/>
        <v>23</v>
      </c>
      <c r="C761" s="107" t="str">
        <f t="shared" si="109"/>
        <v>ATK</v>
      </c>
      <c r="D761" s="2" t="s">
        <v>2080</v>
      </c>
      <c r="E761" s="3">
        <v>43979</v>
      </c>
      <c r="F761" s="3">
        <v>43983</v>
      </c>
      <c r="G761" s="108">
        <f t="shared" si="110"/>
        <v>6</v>
      </c>
      <c r="H761" s="108" t="str">
        <f t="shared" si="111"/>
        <v>완료</v>
      </c>
      <c r="I761" s="112" t="s">
        <v>218</v>
      </c>
      <c r="J761" s="4" t="s">
        <v>2081</v>
      </c>
      <c r="K761" s="5" t="s">
        <v>2081</v>
      </c>
      <c r="L761" s="6" t="str">
        <f t="shared" si="106"/>
        <v>QA</v>
      </c>
      <c r="M761" s="13" t="s">
        <v>2082</v>
      </c>
      <c r="N761" s="7" t="s">
        <v>3801</v>
      </c>
      <c r="O761" s="13" t="s">
        <v>2082</v>
      </c>
      <c r="P761" s="115" t="s">
        <v>2083</v>
      </c>
      <c r="Q761" s="8"/>
      <c r="R761" s="2">
        <v>1</v>
      </c>
      <c r="S761" s="9">
        <v>400</v>
      </c>
      <c r="T761" s="10">
        <f t="shared" si="118"/>
        <v>200</v>
      </c>
      <c r="U761" s="9">
        <v>15</v>
      </c>
      <c r="V761" s="10">
        <f t="shared" si="119"/>
        <v>185</v>
      </c>
      <c r="W761" s="4" t="s">
        <v>2084</v>
      </c>
      <c r="X761" s="2"/>
      <c r="Y761" s="11">
        <v>2</v>
      </c>
      <c r="Z761" s="12">
        <f t="shared" si="107"/>
        <v>4</v>
      </c>
      <c r="AA761" s="4" t="s">
        <v>2085</v>
      </c>
      <c r="AC761" s="176">
        <f t="shared" si="122"/>
        <v>1.3636363636363636E-2</v>
      </c>
      <c r="AD761"/>
    </row>
    <row r="762" spans="2:30">
      <c r="B762" s="183">
        <f t="shared" si="108"/>
        <v>23</v>
      </c>
      <c r="C762" s="107" t="str">
        <f t="shared" si="109"/>
        <v>ATK</v>
      </c>
      <c r="D762" s="2" t="s">
        <v>2086</v>
      </c>
      <c r="E762" s="3">
        <v>43983</v>
      </c>
      <c r="F762" s="3">
        <v>43983</v>
      </c>
      <c r="G762" s="108">
        <f t="shared" si="110"/>
        <v>6</v>
      </c>
      <c r="H762" s="108" t="str">
        <f t="shared" si="111"/>
        <v>완료</v>
      </c>
      <c r="I762" s="112" t="s">
        <v>218</v>
      </c>
      <c r="J762" s="4" t="s">
        <v>2087</v>
      </c>
      <c r="K762" s="5" t="s">
        <v>2088</v>
      </c>
      <c r="L762" s="6" t="str">
        <f t="shared" si="106"/>
        <v>EE1</v>
      </c>
      <c r="M762" s="13" t="s">
        <v>2089</v>
      </c>
      <c r="N762" s="7" t="s">
        <v>3802</v>
      </c>
      <c r="O762" s="13" t="s">
        <v>2089</v>
      </c>
      <c r="P762" s="115" t="s">
        <v>2090</v>
      </c>
      <c r="Q762" s="8"/>
      <c r="R762" s="2">
        <v>1</v>
      </c>
      <c r="S762" s="9">
        <v>600</v>
      </c>
      <c r="T762" s="10">
        <f t="shared" si="118"/>
        <v>300</v>
      </c>
      <c r="U762" s="9">
        <v>15</v>
      </c>
      <c r="V762" s="10">
        <f t="shared" si="119"/>
        <v>285</v>
      </c>
      <c r="W762" s="4" t="s">
        <v>2091</v>
      </c>
      <c r="X762" s="2"/>
      <c r="Y762" s="11">
        <v>2</v>
      </c>
      <c r="Z762" s="12">
        <f t="shared" si="107"/>
        <v>0</v>
      </c>
      <c r="AA762" s="4" t="s">
        <v>2092</v>
      </c>
      <c r="AC762" s="176">
        <f t="shared" si="122"/>
        <v>1.3636363636363636E-2</v>
      </c>
      <c r="AD762"/>
    </row>
    <row r="763" spans="2:30">
      <c r="B763" s="183">
        <f t="shared" si="108"/>
        <v>23</v>
      </c>
      <c r="C763" s="107" t="str">
        <f t="shared" si="109"/>
        <v>ATK</v>
      </c>
      <c r="D763" s="2" t="s">
        <v>1073</v>
      </c>
      <c r="E763" s="3">
        <v>43983</v>
      </c>
      <c r="F763" s="3">
        <v>43983</v>
      </c>
      <c r="G763" s="108">
        <f t="shared" si="110"/>
        <v>6</v>
      </c>
      <c r="H763" s="108" t="str">
        <f t="shared" si="111"/>
        <v>완료</v>
      </c>
      <c r="I763" s="112" t="s">
        <v>218</v>
      </c>
      <c r="J763" s="4" t="s">
        <v>139</v>
      </c>
      <c r="K763" s="5" t="s">
        <v>177</v>
      </c>
      <c r="L763" s="6" t="str">
        <f t="shared" si="106"/>
        <v>Bum</v>
      </c>
      <c r="M763" s="13" t="s">
        <v>2062</v>
      </c>
      <c r="N763" s="7"/>
      <c r="O763" s="13" t="s">
        <v>2063</v>
      </c>
      <c r="P763" s="115" t="s">
        <v>2064</v>
      </c>
      <c r="Q763" s="8"/>
      <c r="R763" s="2">
        <v>1</v>
      </c>
      <c r="S763" s="9">
        <v>25000</v>
      </c>
      <c r="T763" s="10">
        <f t="shared" ref="T763" si="123">(S763*50)/100*R763</f>
        <v>12500</v>
      </c>
      <c r="U763" s="9">
        <v>70</v>
      </c>
      <c r="V763" s="10">
        <f t="shared" ref="V763" si="124">T763-U763</f>
        <v>12430</v>
      </c>
      <c r="W763" s="4" t="s">
        <v>122</v>
      </c>
      <c r="X763" s="2"/>
      <c r="Y763" s="11">
        <v>6</v>
      </c>
      <c r="Z763" s="12">
        <f t="shared" si="107"/>
        <v>0</v>
      </c>
      <c r="AA763" s="4" t="s">
        <v>117</v>
      </c>
      <c r="AC763" s="176">
        <f t="shared" si="122"/>
        <v>6.363636363636363E-2</v>
      </c>
      <c r="AD763"/>
    </row>
    <row r="764" spans="2:30">
      <c r="B764" s="183">
        <f t="shared" si="108"/>
        <v>23</v>
      </c>
      <c r="C764" s="107" t="str">
        <f t="shared" si="109"/>
        <v>ATK</v>
      </c>
      <c r="D764" s="2" t="s">
        <v>312</v>
      </c>
      <c r="E764" s="3">
        <v>43979</v>
      </c>
      <c r="F764" s="3">
        <v>43983</v>
      </c>
      <c r="G764" s="108">
        <f t="shared" si="110"/>
        <v>6</v>
      </c>
      <c r="H764" s="108" t="str">
        <f t="shared" si="111"/>
        <v>완료</v>
      </c>
      <c r="I764" s="112" t="s">
        <v>218</v>
      </c>
      <c r="J764" s="4" t="s">
        <v>481</v>
      </c>
      <c r="K764" s="5" t="s">
        <v>695</v>
      </c>
      <c r="L764" s="6" t="str">
        <f t="shared" si="106"/>
        <v>2T2</v>
      </c>
      <c r="M764" s="13" t="s">
        <v>256</v>
      </c>
      <c r="N764" s="7" t="s">
        <v>3521</v>
      </c>
      <c r="O764" s="13" t="s">
        <v>333</v>
      </c>
      <c r="P764" s="195" t="s">
        <v>2093</v>
      </c>
      <c r="Q764" s="8"/>
      <c r="R764" s="2">
        <v>1</v>
      </c>
      <c r="S764" s="9">
        <v>3500</v>
      </c>
      <c r="T764" s="10">
        <f t="shared" si="118"/>
        <v>1750</v>
      </c>
      <c r="U764" s="9">
        <v>20</v>
      </c>
      <c r="V764" s="10">
        <f t="shared" si="119"/>
        <v>1730</v>
      </c>
      <c r="W764" s="4" t="s">
        <v>122</v>
      </c>
      <c r="X764" s="2"/>
      <c r="Y764" s="11">
        <v>3</v>
      </c>
      <c r="Z764" s="12">
        <f t="shared" si="107"/>
        <v>4</v>
      </c>
      <c r="AA764" s="4" t="s">
        <v>27</v>
      </c>
      <c r="AC764" s="176">
        <f t="shared" si="122"/>
        <v>1.8181818181818181E-2</v>
      </c>
      <c r="AD764"/>
    </row>
    <row r="765" spans="2:30">
      <c r="B765" s="183">
        <f t="shared" si="108"/>
        <v>23</v>
      </c>
      <c r="C765" s="107" t="str">
        <f t="shared" si="109"/>
        <v>ATK</v>
      </c>
      <c r="D765" s="2" t="s">
        <v>2094</v>
      </c>
      <c r="E765" s="3">
        <v>43983</v>
      </c>
      <c r="F765" s="3">
        <v>43983</v>
      </c>
      <c r="G765" s="108">
        <f t="shared" si="110"/>
        <v>6</v>
      </c>
      <c r="H765" s="108" t="str">
        <f t="shared" si="111"/>
        <v>완료</v>
      </c>
      <c r="I765" s="112" t="s">
        <v>218</v>
      </c>
      <c r="J765" s="4" t="s">
        <v>132</v>
      </c>
      <c r="K765" s="5" t="s">
        <v>322</v>
      </c>
      <c r="L765" s="6" t="str">
        <f t="shared" si="106"/>
        <v>3T1</v>
      </c>
      <c r="M765" s="13" t="s">
        <v>2095</v>
      </c>
      <c r="N765" s="7" t="s">
        <v>3803</v>
      </c>
      <c r="O765" s="13" t="s">
        <v>2096</v>
      </c>
      <c r="P765" s="115" t="s">
        <v>2097</v>
      </c>
      <c r="Q765" s="8"/>
      <c r="R765" s="2">
        <v>2</v>
      </c>
      <c r="S765" s="9">
        <v>2000</v>
      </c>
      <c r="T765" s="10">
        <f t="shared" si="118"/>
        <v>2000</v>
      </c>
      <c r="U765" s="9">
        <v>0</v>
      </c>
      <c r="V765" s="10">
        <f t="shared" si="119"/>
        <v>2000</v>
      </c>
      <c r="W765" s="4" t="s">
        <v>122</v>
      </c>
      <c r="X765" s="2"/>
      <c r="Y765" s="11">
        <v>4</v>
      </c>
      <c r="Z765" s="12">
        <f t="shared" si="107"/>
        <v>0</v>
      </c>
      <c r="AA765" s="4" t="s">
        <v>212</v>
      </c>
      <c r="AC765" s="176">
        <f t="shared" si="122"/>
        <v>0</v>
      </c>
      <c r="AD765"/>
    </row>
    <row r="766" spans="2:30">
      <c r="B766" s="183">
        <f t="shared" si="108"/>
        <v>23</v>
      </c>
      <c r="C766" s="107" t="str">
        <f t="shared" si="109"/>
        <v>ATK</v>
      </c>
      <c r="D766" s="2" t="s">
        <v>2098</v>
      </c>
      <c r="E766" s="3">
        <v>43983</v>
      </c>
      <c r="F766" s="3">
        <v>43983</v>
      </c>
      <c r="G766" s="108">
        <f t="shared" si="110"/>
        <v>6</v>
      </c>
      <c r="H766" s="108" t="str">
        <f t="shared" si="111"/>
        <v>완료</v>
      </c>
      <c r="I766" s="112" t="s">
        <v>2099</v>
      </c>
      <c r="J766" s="4" t="s">
        <v>804</v>
      </c>
      <c r="K766" s="5" t="s">
        <v>1091</v>
      </c>
      <c r="L766" s="6" t="str">
        <f t="shared" si="106"/>
        <v>5T2</v>
      </c>
      <c r="M766" s="13" t="s">
        <v>2100</v>
      </c>
      <c r="N766" s="7" t="s">
        <v>3804</v>
      </c>
      <c r="O766" s="13" t="s">
        <v>1256</v>
      </c>
      <c r="P766" s="115" t="s">
        <v>2101</v>
      </c>
      <c r="Q766" s="8"/>
      <c r="R766" s="2">
        <v>1</v>
      </c>
      <c r="S766" s="9">
        <v>200</v>
      </c>
      <c r="T766" s="10">
        <f t="shared" si="118"/>
        <v>100</v>
      </c>
      <c r="U766" s="9">
        <v>5</v>
      </c>
      <c r="V766" s="10">
        <f t="shared" si="119"/>
        <v>95</v>
      </c>
      <c r="W766" s="4" t="s">
        <v>2102</v>
      </c>
      <c r="X766" s="2"/>
      <c r="Y766" s="11">
        <v>1</v>
      </c>
      <c r="Z766" s="12">
        <f t="shared" si="107"/>
        <v>0</v>
      </c>
      <c r="AA766" s="4" t="s">
        <v>2103</v>
      </c>
      <c r="AC766" s="176">
        <f t="shared" si="122"/>
        <v>4.5454545454545452E-3</v>
      </c>
      <c r="AD766"/>
    </row>
    <row r="767" spans="2:30">
      <c r="B767" s="183">
        <f t="shared" si="108"/>
        <v>23</v>
      </c>
      <c r="C767" s="107" t="str">
        <f t="shared" si="109"/>
        <v>ATK</v>
      </c>
      <c r="D767" s="2" t="s">
        <v>2104</v>
      </c>
      <c r="E767" s="3">
        <v>43983</v>
      </c>
      <c r="F767" s="3">
        <v>43987</v>
      </c>
      <c r="G767" s="108">
        <f t="shared" si="110"/>
        <v>6</v>
      </c>
      <c r="H767" s="108" t="str">
        <f t="shared" si="111"/>
        <v>완료</v>
      </c>
      <c r="I767" s="112" t="s">
        <v>264</v>
      </c>
      <c r="J767" s="4" t="s">
        <v>2105</v>
      </c>
      <c r="K767" s="5" t="s">
        <v>833</v>
      </c>
      <c r="L767" s="6" t="str">
        <f t="shared" si="106"/>
        <v>1T3</v>
      </c>
      <c r="M767" s="13" t="s">
        <v>256</v>
      </c>
      <c r="N767" s="7" t="s">
        <v>3506</v>
      </c>
      <c r="O767" s="13" t="s">
        <v>482</v>
      </c>
      <c r="P767" s="115" t="s">
        <v>2106</v>
      </c>
      <c r="Q767" s="8"/>
      <c r="R767" s="2">
        <v>1</v>
      </c>
      <c r="S767" s="9">
        <v>1500</v>
      </c>
      <c r="T767" s="10">
        <f t="shared" si="118"/>
        <v>750</v>
      </c>
      <c r="U767" s="9">
        <v>5</v>
      </c>
      <c r="V767" s="10">
        <f t="shared" si="119"/>
        <v>745</v>
      </c>
      <c r="W767" s="4" t="s">
        <v>2102</v>
      </c>
      <c r="X767" s="2"/>
      <c r="Y767" s="11">
        <v>2</v>
      </c>
      <c r="Z767" s="12">
        <f t="shared" si="107"/>
        <v>4</v>
      </c>
      <c r="AA767" s="4" t="s">
        <v>2103</v>
      </c>
      <c r="AC767" s="176">
        <f t="shared" si="122"/>
        <v>4.5454545454545452E-3</v>
      </c>
      <c r="AD767"/>
    </row>
    <row r="768" spans="2:30">
      <c r="B768" s="183">
        <f t="shared" si="108"/>
        <v>23</v>
      </c>
      <c r="C768" s="107" t="str">
        <f t="shared" si="109"/>
        <v>ATK</v>
      </c>
      <c r="D768" s="2" t="s">
        <v>541</v>
      </c>
      <c r="E768" s="3">
        <v>43983</v>
      </c>
      <c r="F768" s="3">
        <v>43985</v>
      </c>
      <c r="G768" s="108">
        <f t="shared" si="110"/>
        <v>6</v>
      </c>
      <c r="H768" s="108" t="str">
        <f t="shared" si="111"/>
        <v>완료</v>
      </c>
      <c r="I768" s="112" t="s">
        <v>218</v>
      </c>
      <c r="J768" s="4" t="s">
        <v>132</v>
      </c>
      <c r="K768" s="5" t="s">
        <v>322</v>
      </c>
      <c r="L768" s="6" t="str">
        <f t="shared" si="106"/>
        <v>3T1</v>
      </c>
      <c r="M768" s="13" t="s">
        <v>1286</v>
      </c>
      <c r="N768" s="7" t="s">
        <v>3803</v>
      </c>
      <c r="O768" s="13" t="s">
        <v>1378</v>
      </c>
      <c r="P768" s="115" t="s">
        <v>2107</v>
      </c>
      <c r="Q768" s="8"/>
      <c r="R768" s="2">
        <v>1</v>
      </c>
      <c r="S768" s="9">
        <v>100</v>
      </c>
      <c r="T768" s="10">
        <f t="shared" si="118"/>
        <v>50</v>
      </c>
      <c r="U768" s="9"/>
      <c r="V768" s="10">
        <f t="shared" si="119"/>
        <v>50</v>
      </c>
      <c r="W768" s="4" t="s">
        <v>122</v>
      </c>
      <c r="X768" s="2"/>
      <c r="Y768" s="11">
        <v>2</v>
      </c>
      <c r="Z768" s="12">
        <f t="shared" si="107"/>
        <v>2</v>
      </c>
      <c r="AA768" s="4" t="s">
        <v>212</v>
      </c>
      <c r="AC768" s="176">
        <f t="shared" si="122"/>
        <v>0</v>
      </c>
      <c r="AD768"/>
    </row>
    <row r="769" spans="2:30">
      <c r="B769" s="183">
        <f t="shared" si="108"/>
        <v>23</v>
      </c>
      <c r="C769" s="107" t="str">
        <f t="shared" si="109"/>
        <v>ATK</v>
      </c>
      <c r="D769" s="2" t="s">
        <v>2108</v>
      </c>
      <c r="E769" s="3">
        <v>43984</v>
      </c>
      <c r="F769" s="3">
        <v>43984</v>
      </c>
      <c r="G769" s="108">
        <f t="shared" si="110"/>
        <v>6</v>
      </c>
      <c r="H769" s="108" t="str">
        <f t="shared" si="111"/>
        <v>Other</v>
      </c>
      <c r="I769" s="112" t="s">
        <v>660</v>
      </c>
      <c r="J769" s="4" t="s">
        <v>2109</v>
      </c>
      <c r="K769" s="5" t="s">
        <v>2110</v>
      </c>
      <c r="L769" s="6" t="str">
        <f t="shared" si="106"/>
        <v>1T3</v>
      </c>
      <c r="M769" s="13" t="s">
        <v>2111</v>
      </c>
      <c r="N769" s="7" t="s">
        <v>3650</v>
      </c>
      <c r="O769" s="13" t="s">
        <v>2112</v>
      </c>
      <c r="P769" s="115" t="s">
        <v>2113</v>
      </c>
      <c r="Q769" s="8"/>
      <c r="R769" s="2">
        <v>1</v>
      </c>
      <c r="S769" s="9">
        <v>300</v>
      </c>
      <c r="T769" s="10">
        <f t="shared" si="118"/>
        <v>150</v>
      </c>
      <c r="U769" s="9">
        <v>0</v>
      </c>
      <c r="V769" s="10">
        <f t="shared" si="119"/>
        <v>150</v>
      </c>
      <c r="W769" s="4" t="s">
        <v>2114</v>
      </c>
      <c r="X769" s="2"/>
      <c r="Y769" s="11">
        <v>1</v>
      </c>
      <c r="Z769" s="12">
        <f t="shared" si="107"/>
        <v>0</v>
      </c>
      <c r="AA769" s="4" t="s">
        <v>2115</v>
      </c>
      <c r="AC769" s="176">
        <f t="shared" si="122"/>
        <v>0</v>
      </c>
      <c r="AD769"/>
    </row>
    <row r="770" spans="2:30">
      <c r="B770" s="183">
        <f t="shared" si="108"/>
        <v>23</v>
      </c>
      <c r="C770" s="107" t="str">
        <f t="shared" si="109"/>
        <v>ATK</v>
      </c>
      <c r="D770" s="2" t="s">
        <v>2116</v>
      </c>
      <c r="E770" s="3">
        <v>43984</v>
      </c>
      <c r="F770" s="3">
        <v>43984</v>
      </c>
      <c r="G770" s="108">
        <f t="shared" si="110"/>
        <v>6</v>
      </c>
      <c r="H770" s="108" t="str">
        <f t="shared" si="111"/>
        <v>완료</v>
      </c>
      <c r="I770" s="112" t="s">
        <v>218</v>
      </c>
      <c r="J770" s="4" t="s">
        <v>132</v>
      </c>
      <c r="K770" s="5" t="s">
        <v>143</v>
      </c>
      <c r="L770" s="6" t="str">
        <f t="shared" ref="L770:L833" si="125">LEFT(K770,3)</f>
        <v>3T4</v>
      </c>
      <c r="M770" s="13" t="s">
        <v>2117</v>
      </c>
      <c r="N770" s="7" t="s">
        <v>3528</v>
      </c>
      <c r="O770" s="13" t="s">
        <v>367</v>
      </c>
      <c r="P770" s="115"/>
      <c r="Q770" s="8"/>
      <c r="R770" s="2">
        <v>2</v>
      </c>
      <c r="S770" s="9">
        <v>1500</v>
      </c>
      <c r="T770" s="10">
        <f t="shared" si="118"/>
        <v>1500</v>
      </c>
      <c r="U770" s="9"/>
      <c r="V770" s="10">
        <f t="shared" si="119"/>
        <v>1500</v>
      </c>
      <c r="W770" s="4" t="s">
        <v>122</v>
      </c>
      <c r="X770" s="2"/>
      <c r="Y770" s="11">
        <v>5</v>
      </c>
      <c r="Z770" s="12">
        <f t="shared" ref="Z770:Z833" si="126">F770-E770</f>
        <v>0</v>
      </c>
      <c r="AA770" s="4" t="s">
        <v>259</v>
      </c>
      <c r="AC770" s="176">
        <f t="shared" si="122"/>
        <v>0</v>
      </c>
      <c r="AD770"/>
    </row>
    <row r="771" spans="2:30">
      <c r="B771" s="183">
        <f t="shared" ref="B771:B834" si="127">IF(F771&gt;0,IFERROR(WEEKNUM(F771),""),"")</f>
        <v>23</v>
      </c>
      <c r="C771" s="107" t="str">
        <f t="shared" ref="C771:C834" si="128">IF(D771=0,"",(IF(LEFT(D771,3)="ATK","ATK",IF(LEFT(D771,2)="AT",D771,"ATK"))))</f>
        <v>ATK</v>
      </c>
      <c r="D771" s="2" t="s">
        <v>2141</v>
      </c>
      <c r="E771" s="3">
        <v>43984</v>
      </c>
      <c r="F771" s="3">
        <v>43984</v>
      </c>
      <c r="G771" s="108">
        <f t="shared" ref="G771:G834" si="129">IF(F771&gt;0,MONTH(F771),"")</f>
        <v>6</v>
      </c>
      <c r="H771" s="108" t="str">
        <f t="shared" ref="H771:H834" si="130">IF(I771=0,"",IF(RIGHT(I771,2)="완료","완료",IF(RIGHT(I771,2)="불가","수리불가",IF(RIGHT(I771,1)="중","수리중","Other"))))</f>
        <v>Other</v>
      </c>
      <c r="I771" s="112" t="s">
        <v>251</v>
      </c>
      <c r="J771" s="4" t="s">
        <v>2118</v>
      </c>
      <c r="K771" s="5" t="s">
        <v>2118</v>
      </c>
      <c r="L771" s="6" t="str">
        <f t="shared" si="125"/>
        <v>QA</v>
      </c>
      <c r="M771" s="13" t="s">
        <v>226</v>
      </c>
      <c r="N771" s="7" t="s">
        <v>140</v>
      </c>
      <c r="O771" s="13" t="s">
        <v>2119</v>
      </c>
      <c r="P771" s="115"/>
      <c r="Q771" s="8"/>
      <c r="R771" s="2">
        <v>1</v>
      </c>
      <c r="S771" s="9">
        <v>0</v>
      </c>
      <c r="T771" s="10">
        <f t="shared" si="118"/>
        <v>0</v>
      </c>
      <c r="U771" s="9">
        <v>0</v>
      </c>
      <c r="V771" s="10">
        <f t="shared" si="119"/>
        <v>0</v>
      </c>
      <c r="W771" s="4" t="s">
        <v>122</v>
      </c>
      <c r="X771" s="2"/>
      <c r="Y771" s="11">
        <v>3</v>
      </c>
      <c r="Z771" s="12">
        <f t="shared" si="126"/>
        <v>0</v>
      </c>
      <c r="AA771" s="4" t="s">
        <v>2120</v>
      </c>
      <c r="AC771" s="176">
        <f t="shared" si="122"/>
        <v>0</v>
      </c>
      <c r="AD771"/>
    </row>
    <row r="772" spans="2:30">
      <c r="B772" s="183">
        <f t="shared" si="127"/>
        <v>23</v>
      </c>
      <c r="C772" s="107" t="str">
        <f t="shared" si="128"/>
        <v>ATK</v>
      </c>
      <c r="D772" s="2" t="s">
        <v>2141</v>
      </c>
      <c r="E772" s="3">
        <v>43984</v>
      </c>
      <c r="F772" s="3">
        <v>43984</v>
      </c>
      <c r="G772" s="108">
        <f t="shared" si="129"/>
        <v>6</v>
      </c>
      <c r="H772" s="108" t="str">
        <f t="shared" si="130"/>
        <v>Other</v>
      </c>
      <c r="I772" s="112" t="s">
        <v>251</v>
      </c>
      <c r="J772" s="4" t="s">
        <v>2118</v>
      </c>
      <c r="K772" s="5" t="s">
        <v>2118</v>
      </c>
      <c r="L772" s="6" t="str">
        <f t="shared" si="125"/>
        <v>QA</v>
      </c>
      <c r="M772" s="13" t="s">
        <v>226</v>
      </c>
      <c r="N772" s="7" t="s">
        <v>140</v>
      </c>
      <c r="O772" s="13" t="s">
        <v>2119</v>
      </c>
      <c r="P772" s="115"/>
      <c r="Q772" s="8"/>
      <c r="R772" s="2">
        <v>1</v>
      </c>
      <c r="S772" s="9">
        <v>0</v>
      </c>
      <c r="T772" s="10">
        <f t="shared" ref="T772" si="131">(S772*50)/100*R772</f>
        <v>0</v>
      </c>
      <c r="U772" s="9">
        <v>0</v>
      </c>
      <c r="V772" s="10">
        <f t="shared" ref="V772" si="132">T772-U772</f>
        <v>0</v>
      </c>
      <c r="W772" s="4" t="s">
        <v>122</v>
      </c>
      <c r="X772" s="2"/>
      <c r="Y772" s="11">
        <v>3</v>
      </c>
      <c r="Z772" s="12">
        <f t="shared" si="126"/>
        <v>0</v>
      </c>
      <c r="AA772" s="4" t="s">
        <v>2121</v>
      </c>
      <c r="AC772" s="176">
        <f t="shared" si="122"/>
        <v>0</v>
      </c>
      <c r="AD772"/>
    </row>
    <row r="773" spans="2:30">
      <c r="B773" s="183">
        <f t="shared" si="127"/>
        <v>23</v>
      </c>
      <c r="C773" s="107" t="str">
        <f t="shared" si="128"/>
        <v>ATK</v>
      </c>
      <c r="D773" s="2" t="s">
        <v>2123</v>
      </c>
      <c r="E773" s="3">
        <v>43984</v>
      </c>
      <c r="F773" s="3">
        <v>43984</v>
      </c>
      <c r="G773" s="108">
        <f t="shared" si="129"/>
        <v>6</v>
      </c>
      <c r="H773" s="108" t="str">
        <f t="shared" si="130"/>
        <v>완료</v>
      </c>
      <c r="I773" s="112" t="s">
        <v>218</v>
      </c>
      <c r="J773" s="4" t="s">
        <v>132</v>
      </c>
      <c r="K773" s="5" t="s">
        <v>133</v>
      </c>
      <c r="L773" s="6" t="str">
        <f t="shared" si="125"/>
        <v>3T3</v>
      </c>
      <c r="M773" s="13" t="s">
        <v>1600</v>
      </c>
      <c r="N773" s="7" t="s">
        <v>3805</v>
      </c>
      <c r="O773" s="13" t="s">
        <v>2122</v>
      </c>
      <c r="P773" s="115" t="s">
        <v>2124</v>
      </c>
      <c r="Q773" s="8"/>
      <c r="R773" s="2">
        <v>1</v>
      </c>
      <c r="S773" s="9">
        <v>1000</v>
      </c>
      <c r="T773" s="10">
        <f t="shared" si="118"/>
        <v>500</v>
      </c>
      <c r="U773" s="9">
        <v>10</v>
      </c>
      <c r="V773" s="10">
        <f t="shared" si="119"/>
        <v>490</v>
      </c>
      <c r="W773" s="4" t="s">
        <v>122</v>
      </c>
      <c r="X773" s="2"/>
      <c r="Y773" s="11">
        <v>4</v>
      </c>
      <c r="Z773" s="12">
        <f t="shared" si="126"/>
        <v>0</v>
      </c>
      <c r="AA773" s="4" t="s">
        <v>212</v>
      </c>
      <c r="AC773" s="176">
        <f t="shared" si="122"/>
        <v>9.0909090909090905E-3</v>
      </c>
      <c r="AD773"/>
    </row>
    <row r="774" spans="2:30">
      <c r="B774" s="183">
        <f t="shared" si="127"/>
        <v>23</v>
      </c>
      <c r="C774" s="107" t="str">
        <f t="shared" si="128"/>
        <v>ATK</v>
      </c>
      <c r="D774" s="2" t="s">
        <v>737</v>
      </c>
      <c r="E774" s="3">
        <v>43983</v>
      </c>
      <c r="F774" s="3">
        <v>43983</v>
      </c>
      <c r="G774" s="108">
        <f t="shared" si="129"/>
        <v>6</v>
      </c>
      <c r="H774" s="108" t="str">
        <f t="shared" si="130"/>
        <v>완료</v>
      </c>
      <c r="I774" s="112" t="s">
        <v>218</v>
      </c>
      <c r="J774" s="4" t="s">
        <v>139</v>
      </c>
      <c r="K774" s="5" t="s">
        <v>177</v>
      </c>
      <c r="L774" s="6" t="str">
        <f t="shared" si="125"/>
        <v>Bum</v>
      </c>
      <c r="M774" s="13" t="s">
        <v>2062</v>
      </c>
      <c r="N774" s="7" t="s">
        <v>3806</v>
      </c>
      <c r="O774" s="13" t="s">
        <v>1445</v>
      </c>
      <c r="P774" s="115" t="s">
        <v>2127</v>
      </c>
      <c r="Q774" s="8" t="s">
        <v>2128</v>
      </c>
      <c r="R774" s="2">
        <v>1</v>
      </c>
      <c r="S774" s="9">
        <v>15000</v>
      </c>
      <c r="T774" s="10">
        <f t="shared" si="118"/>
        <v>7500</v>
      </c>
      <c r="U774" s="9">
        <v>5</v>
      </c>
      <c r="V774" s="10">
        <f t="shared" si="119"/>
        <v>7495</v>
      </c>
      <c r="W774" s="4" t="s">
        <v>122</v>
      </c>
      <c r="X774" s="2"/>
      <c r="Y774" s="11">
        <v>4</v>
      </c>
      <c r="Z774" s="12">
        <f t="shared" si="126"/>
        <v>0</v>
      </c>
      <c r="AA774" s="4" t="s">
        <v>120</v>
      </c>
      <c r="AC774" s="176">
        <f t="shared" si="122"/>
        <v>4.5454545454545452E-3</v>
      </c>
      <c r="AD774"/>
    </row>
    <row r="775" spans="2:30">
      <c r="B775" s="183">
        <f t="shared" si="127"/>
        <v>23</v>
      </c>
      <c r="C775" s="107" t="str">
        <f t="shared" si="128"/>
        <v>ATK</v>
      </c>
      <c r="D775" s="2" t="s">
        <v>737</v>
      </c>
      <c r="E775" s="3">
        <v>43983</v>
      </c>
      <c r="F775" s="3">
        <v>43984</v>
      </c>
      <c r="G775" s="108">
        <f t="shared" si="129"/>
        <v>6</v>
      </c>
      <c r="H775" s="108" t="str">
        <f t="shared" si="130"/>
        <v>완료</v>
      </c>
      <c r="I775" s="112" t="s">
        <v>218</v>
      </c>
      <c r="J775" s="4" t="s">
        <v>139</v>
      </c>
      <c r="K775" s="5" t="s">
        <v>177</v>
      </c>
      <c r="L775" s="6" t="str">
        <f t="shared" si="125"/>
        <v>Bum</v>
      </c>
      <c r="M775" s="13" t="s">
        <v>2125</v>
      </c>
      <c r="N775" s="7" t="s">
        <v>3807</v>
      </c>
      <c r="O775" s="13" t="s">
        <v>1445</v>
      </c>
      <c r="P775" s="115" t="s">
        <v>2126</v>
      </c>
      <c r="Q775" s="8" t="s">
        <v>2129</v>
      </c>
      <c r="R775" s="2">
        <v>1</v>
      </c>
      <c r="S775" s="9">
        <v>15000</v>
      </c>
      <c r="T775" s="10">
        <f t="shared" si="118"/>
        <v>7500</v>
      </c>
      <c r="U775" s="9">
        <v>0</v>
      </c>
      <c r="V775" s="10">
        <f t="shared" si="119"/>
        <v>7500</v>
      </c>
      <c r="W775" s="4" t="s">
        <v>122</v>
      </c>
      <c r="X775" s="2"/>
      <c r="Y775" s="11">
        <v>4</v>
      </c>
      <c r="Z775" s="12">
        <f t="shared" si="126"/>
        <v>1</v>
      </c>
      <c r="AA775" s="4" t="s">
        <v>120</v>
      </c>
      <c r="AC775" s="176">
        <f t="shared" si="122"/>
        <v>0</v>
      </c>
      <c r="AD775"/>
    </row>
    <row r="776" spans="2:30">
      <c r="B776" s="183">
        <f t="shared" si="127"/>
        <v>23</v>
      </c>
      <c r="C776" s="107" t="str">
        <f t="shared" si="128"/>
        <v>ATK</v>
      </c>
      <c r="D776" s="2" t="s">
        <v>737</v>
      </c>
      <c r="E776" s="3">
        <v>43983</v>
      </c>
      <c r="F776" s="3">
        <v>43986</v>
      </c>
      <c r="G776" s="108">
        <f t="shared" si="129"/>
        <v>6</v>
      </c>
      <c r="H776" s="108" t="str">
        <f t="shared" si="130"/>
        <v>완료</v>
      </c>
      <c r="I776" s="112" t="s">
        <v>218</v>
      </c>
      <c r="J776" s="4" t="s">
        <v>139</v>
      </c>
      <c r="K776" s="5" t="s">
        <v>177</v>
      </c>
      <c r="L776" s="6" t="str">
        <f t="shared" si="125"/>
        <v>Bum</v>
      </c>
      <c r="M776" s="13" t="s">
        <v>2125</v>
      </c>
      <c r="N776" s="7" t="s">
        <v>3808</v>
      </c>
      <c r="O776" s="13" t="s">
        <v>1445</v>
      </c>
      <c r="P776" s="115" t="s">
        <v>2207</v>
      </c>
      <c r="Q776" s="8" t="s">
        <v>2130</v>
      </c>
      <c r="R776" s="2">
        <v>1</v>
      </c>
      <c r="S776" s="9">
        <v>15000</v>
      </c>
      <c r="T776" s="10">
        <f t="shared" si="118"/>
        <v>7500</v>
      </c>
      <c r="U776" s="9">
        <v>0</v>
      </c>
      <c r="V776" s="10">
        <f t="shared" si="119"/>
        <v>7500</v>
      </c>
      <c r="W776" s="4" t="s">
        <v>122</v>
      </c>
      <c r="X776" s="2"/>
      <c r="Y776" s="11">
        <v>4</v>
      </c>
      <c r="Z776" s="12">
        <f t="shared" si="126"/>
        <v>3</v>
      </c>
      <c r="AA776" s="4" t="s">
        <v>120</v>
      </c>
      <c r="AC776" s="176">
        <f t="shared" si="122"/>
        <v>0</v>
      </c>
      <c r="AD776"/>
    </row>
    <row r="777" spans="2:30">
      <c r="B777" s="183">
        <f t="shared" si="127"/>
        <v>23</v>
      </c>
      <c r="C777" s="107" t="str">
        <f t="shared" si="128"/>
        <v>ATK</v>
      </c>
      <c r="D777" s="2" t="s">
        <v>2131</v>
      </c>
      <c r="E777" s="3">
        <v>43984</v>
      </c>
      <c r="F777" s="3">
        <v>43984</v>
      </c>
      <c r="G777" s="108">
        <f t="shared" si="129"/>
        <v>6</v>
      </c>
      <c r="H777" s="108" t="str">
        <f t="shared" si="130"/>
        <v>완료</v>
      </c>
      <c r="I777" s="112" t="s">
        <v>2132</v>
      </c>
      <c r="J777" s="4" t="s">
        <v>2133</v>
      </c>
      <c r="K777" s="5" t="s">
        <v>793</v>
      </c>
      <c r="L777" s="6" t="str">
        <f t="shared" si="125"/>
        <v>3T3</v>
      </c>
      <c r="M777" s="13" t="s">
        <v>270</v>
      </c>
      <c r="N777" s="7" t="s">
        <v>3809</v>
      </c>
      <c r="O777" s="13" t="s">
        <v>270</v>
      </c>
      <c r="P777" s="115" t="s">
        <v>2134</v>
      </c>
      <c r="Q777" s="8"/>
      <c r="R777" s="2">
        <v>1</v>
      </c>
      <c r="S777" s="9">
        <v>1500</v>
      </c>
      <c r="T777" s="10">
        <f t="shared" si="118"/>
        <v>750</v>
      </c>
      <c r="U777" s="9">
        <v>0</v>
      </c>
      <c r="V777" s="10">
        <f t="shared" si="119"/>
        <v>750</v>
      </c>
      <c r="W777" s="4" t="s">
        <v>2135</v>
      </c>
      <c r="X777" s="2"/>
      <c r="Y777" s="11">
        <v>3</v>
      </c>
      <c r="Z777" s="12">
        <f t="shared" si="126"/>
        <v>0</v>
      </c>
      <c r="AA777" s="4" t="s">
        <v>2136</v>
      </c>
      <c r="AC777" s="176">
        <f t="shared" si="122"/>
        <v>0</v>
      </c>
      <c r="AD777"/>
    </row>
    <row r="778" spans="2:30">
      <c r="B778" s="183">
        <f t="shared" si="127"/>
        <v>23</v>
      </c>
      <c r="C778" s="107" t="str">
        <f t="shared" si="128"/>
        <v>ATK</v>
      </c>
      <c r="D778" s="2" t="s">
        <v>617</v>
      </c>
      <c r="E778" s="3">
        <v>43985</v>
      </c>
      <c r="F778" s="3">
        <v>43985</v>
      </c>
      <c r="G778" s="108">
        <f t="shared" si="129"/>
        <v>6</v>
      </c>
      <c r="H778" s="108" t="str">
        <f t="shared" si="130"/>
        <v>완료</v>
      </c>
      <c r="I778" s="112" t="s">
        <v>264</v>
      </c>
      <c r="J778" s="4" t="s">
        <v>281</v>
      </c>
      <c r="K778" s="5" t="s">
        <v>332</v>
      </c>
      <c r="L778" s="6" t="str">
        <f t="shared" si="125"/>
        <v>EE2</v>
      </c>
      <c r="M778" s="13" t="s">
        <v>256</v>
      </c>
      <c r="N778" s="7" t="s">
        <v>3529</v>
      </c>
      <c r="O778" s="13" t="s">
        <v>1782</v>
      </c>
      <c r="P778" s="115" t="s">
        <v>5205</v>
      </c>
      <c r="Q778" s="8"/>
      <c r="R778" s="2">
        <v>1</v>
      </c>
      <c r="S778" s="9">
        <v>4500</v>
      </c>
      <c r="T778" s="10">
        <f t="shared" si="118"/>
        <v>2250</v>
      </c>
      <c r="U778" s="9">
        <v>60</v>
      </c>
      <c r="V778" s="10">
        <f t="shared" si="119"/>
        <v>2190</v>
      </c>
      <c r="W778" s="4" t="s">
        <v>249</v>
      </c>
      <c r="X778" s="2"/>
      <c r="Y778" s="11">
        <v>3</v>
      </c>
      <c r="Z778" s="12">
        <f t="shared" si="126"/>
        <v>0</v>
      </c>
      <c r="AA778" s="4" t="s">
        <v>27</v>
      </c>
      <c r="AC778" s="176">
        <f t="shared" si="122"/>
        <v>5.4545454545454543E-2</v>
      </c>
      <c r="AD778"/>
    </row>
    <row r="779" spans="2:30">
      <c r="B779" s="183">
        <f t="shared" si="127"/>
        <v>23</v>
      </c>
      <c r="C779" s="107" t="str">
        <f t="shared" si="128"/>
        <v>ATK</v>
      </c>
      <c r="D779" s="2" t="s">
        <v>677</v>
      </c>
      <c r="E779" s="3">
        <v>43985</v>
      </c>
      <c r="F779" s="3">
        <v>43985</v>
      </c>
      <c r="G779" s="108">
        <f t="shared" si="129"/>
        <v>6</v>
      </c>
      <c r="H779" s="108" t="str">
        <f t="shared" si="130"/>
        <v>완료</v>
      </c>
      <c r="I779" s="112" t="s">
        <v>218</v>
      </c>
      <c r="J779" s="4" t="s">
        <v>139</v>
      </c>
      <c r="K779" s="5" t="s">
        <v>851</v>
      </c>
      <c r="L779" s="6" t="str">
        <f t="shared" si="125"/>
        <v>6T1</v>
      </c>
      <c r="M779" s="13" t="s">
        <v>2137</v>
      </c>
      <c r="N779" s="7" t="s">
        <v>3810</v>
      </c>
      <c r="O779" s="13" t="s">
        <v>1794</v>
      </c>
      <c r="P779" s="115" t="s">
        <v>1429</v>
      </c>
      <c r="Q779" s="8"/>
      <c r="R779" s="2">
        <v>1</v>
      </c>
      <c r="S779" s="9">
        <v>1000</v>
      </c>
      <c r="T779" s="10">
        <f t="shared" si="118"/>
        <v>500</v>
      </c>
      <c r="U779" s="9">
        <v>10</v>
      </c>
      <c r="V779" s="10">
        <f t="shared" si="119"/>
        <v>490</v>
      </c>
      <c r="W779" s="4" t="s">
        <v>122</v>
      </c>
      <c r="X779" s="2"/>
      <c r="Y779" s="11">
        <v>4</v>
      </c>
      <c r="Z779" s="12">
        <f t="shared" si="126"/>
        <v>0</v>
      </c>
      <c r="AA779" s="4" t="s">
        <v>212</v>
      </c>
      <c r="AC779" s="176">
        <f t="shared" si="122"/>
        <v>9.0909090909090905E-3</v>
      </c>
      <c r="AD779"/>
    </row>
    <row r="780" spans="2:30">
      <c r="B780" s="183">
        <f t="shared" si="127"/>
        <v>26</v>
      </c>
      <c r="C780" s="107" t="str">
        <f t="shared" si="128"/>
        <v>ATK</v>
      </c>
      <c r="D780" s="2" t="s">
        <v>2138</v>
      </c>
      <c r="E780" s="3">
        <v>43985</v>
      </c>
      <c r="F780" s="3">
        <v>44007</v>
      </c>
      <c r="G780" s="108">
        <f t="shared" si="129"/>
        <v>6</v>
      </c>
      <c r="H780" s="108" t="str">
        <f t="shared" si="130"/>
        <v>완료</v>
      </c>
      <c r="I780" s="112" t="s">
        <v>218</v>
      </c>
      <c r="J780" s="4" t="s">
        <v>859</v>
      </c>
      <c r="K780" s="5" t="s">
        <v>1886</v>
      </c>
      <c r="L780" s="6" t="str">
        <f t="shared" si="125"/>
        <v>2T3</v>
      </c>
      <c r="M780" s="13" t="s">
        <v>2139</v>
      </c>
      <c r="N780" s="7" t="s">
        <v>3811</v>
      </c>
      <c r="O780" s="7" t="s">
        <v>2140</v>
      </c>
      <c r="P780" s="115" t="s">
        <v>2458</v>
      </c>
      <c r="Q780" s="8"/>
      <c r="R780" s="2">
        <v>1</v>
      </c>
      <c r="S780" s="9">
        <v>200</v>
      </c>
      <c r="T780" s="10">
        <f t="shared" si="118"/>
        <v>100</v>
      </c>
      <c r="U780" s="9">
        <v>10</v>
      </c>
      <c r="V780" s="10">
        <f t="shared" si="119"/>
        <v>90</v>
      </c>
      <c r="W780" s="4" t="s">
        <v>122</v>
      </c>
      <c r="X780" s="2"/>
      <c r="Y780" s="11">
        <v>8</v>
      </c>
      <c r="Z780" s="12">
        <f t="shared" si="126"/>
        <v>22</v>
      </c>
      <c r="AA780" s="4" t="s">
        <v>212</v>
      </c>
      <c r="AC780" s="176">
        <f t="shared" si="122"/>
        <v>9.0909090909090905E-3</v>
      </c>
      <c r="AD780"/>
    </row>
    <row r="781" spans="2:30">
      <c r="B781" s="183">
        <f t="shared" si="127"/>
        <v>23</v>
      </c>
      <c r="C781" s="107" t="str">
        <f t="shared" si="128"/>
        <v>ATK</v>
      </c>
      <c r="D781" s="2" t="s">
        <v>2141</v>
      </c>
      <c r="E781" s="3">
        <v>43985</v>
      </c>
      <c r="F781" s="3">
        <v>43985</v>
      </c>
      <c r="G781" s="108">
        <f t="shared" si="129"/>
        <v>6</v>
      </c>
      <c r="H781" s="108" t="str">
        <f t="shared" si="130"/>
        <v>Other</v>
      </c>
      <c r="I781" s="112" t="s">
        <v>251</v>
      </c>
      <c r="J781" s="4" t="s">
        <v>756</v>
      </c>
      <c r="K781" s="5" t="s">
        <v>756</v>
      </c>
      <c r="L781" s="6" t="str">
        <f t="shared" si="125"/>
        <v>QA</v>
      </c>
      <c r="M781" s="13" t="s">
        <v>226</v>
      </c>
      <c r="N781" s="7" t="s">
        <v>140</v>
      </c>
      <c r="O781" s="13" t="s">
        <v>2142</v>
      </c>
      <c r="P781" s="115"/>
      <c r="Q781" s="8"/>
      <c r="R781" s="2">
        <v>1</v>
      </c>
      <c r="S781" s="9">
        <v>0</v>
      </c>
      <c r="T781" s="10">
        <f t="shared" ref="T781:T782" si="133">(S781*50)/100*R781</f>
        <v>0</v>
      </c>
      <c r="U781" s="9">
        <v>0</v>
      </c>
      <c r="V781" s="10">
        <f t="shared" ref="V781:V782" si="134">T781-U781</f>
        <v>0</v>
      </c>
      <c r="W781" s="4" t="s">
        <v>122</v>
      </c>
      <c r="X781" s="2"/>
      <c r="Y781" s="11">
        <v>2</v>
      </c>
      <c r="Z781" s="12">
        <f t="shared" si="126"/>
        <v>0</v>
      </c>
      <c r="AA781" s="4" t="s">
        <v>174</v>
      </c>
      <c r="AC781" s="176">
        <f t="shared" si="122"/>
        <v>0</v>
      </c>
      <c r="AD781"/>
    </row>
    <row r="782" spans="2:30">
      <c r="B782" s="183">
        <f t="shared" si="127"/>
        <v>23</v>
      </c>
      <c r="C782" s="107" t="str">
        <f t="shared" si="128"/>
        <v>ATK</v>
      </c>
      <c r="D782" s="2" t="s">
        <v>2141</v>
      </c>
      <c r="E782" s="3">
        <v>43985</v>
      </c>
      <c r="F782" s="3">
        <v>43985</v>
      </c>
      <c r="G782" s="108">
        <f t="shared" si="129"/>
        <v>6</v>
      </c>
      <c r="H782" s="108" t="str">
        <f t="shared" si="130"/>
        <v>Other</v>
      </c>
      <c r="I782" s="112" t="s">
        <v>251</v>
      </c>
      <c r="J782" s="4" t="s">
        <v>756</v>
      </c>
      <c r="K782" s="5" t="s">
        <v>756</v>
      </c>
      <c r="L782" s="6" t="str">
        <f t="shared" si="125"/>
        <v>QA</v>
      </c>
      <c r="M782" s="13" t="s">
        <v>226</v>
      </c>
      <c r="N782" s="7" t="s">
        <v>140</v>
      </c>
      <c r="O782" s="13" t="s">
        <v>2142</v>
      </c>
      <c r="P782" s="115"/>
      <c r="Q782" s="8"/>
      <c r="R782" s="2">
        <v>1</v>
      </c>
      <c r="S782" s="9">
        <v>0</v>
      </c>
      <c r="T782" s="10">
        <f t="shared" si="133"/>
        <v>0</v>
      </c>
      <c r="U782" s="9">
        <v>0</v>
      </c>
      <c r="V782" s="10">
        <f t="shared" si="134"/>
        <v>0</v>
      </c>
      <c r="W782" s="4" t="s">
        <v>122</v>
      </c>
      <c r="X782" s="2"/>
      <c r="Y782" s="11">
        <v>2</v>
      </c>
      <c r="Z782" s="12">
        <f t="shared" si="126"/>
        <v>0</v>
      </c>
      <c r="AA782" s="4" t="s">
        <v>27</v>
      </c>
      <c r="AC782" s="176">
        <f t="shared" si="122"/>
        <v>0</v>
      </c>
      <c r="AD782"/>
    </row>
    <row r="783" spans="2:30">
      <c r="B783" s="183">
        <f t="shared" si="127"/>
        <v>23</v>
      </c>
      <c r="C783" s="107" t="str">
        <f t="shared" si="128"/>
        <v>ATK</v>
      </c>
      <c r="D783" s="2" t="s">
        <v>2144</v>
      </c>
      <c r="E783" s="3">
        <v>43985</v>
      </c>
      <c r="F783" s="3">
        <v>43985</v>
      </c>
      <c r="G783" s="108">
        <f t="shared" si="129"/>
        <v>6</v>
      </c>
      <c r="H783" s="108" t="str">
        <f t="shared" si="130"/>
        <v>완료</v>
      </c>
      <c r="I783" s="112" t="s">
        <v>218</v>
      </c>
      <c r="J783" s="4" t="s">
        <v>115</v>
      </c>
      <c r="K783" s="5" t="s">
        <v>138</v>
      </c>
      <c r="L783" s="6" t="str">
        <f t="shared" si="125"/>
        <v>EE1</v>
      </c>
      <c r="M783" s="13"/>
      <c r="N783" s="7" t="s">
        <v>3496</v>
      </c>
      <c r="O783" s="13" t="s">
        <v>284</v>
      </c>
      <c r="P783" s="115" t="s">
        <v>2143</v>
      </c>
      <c r="Q783" s="8"/>
      <c r="R783" s="2">
        <v>2</v>
      </c>
      <c r="S783" s="9">
        <v>1200</v>
      </c>
      <c r="T783" s="10">
        <f t="shared" si="118"/>
        <v>1200</v>
      </c>
      <c r="U783" s="9"/>
      <c r="V783" s="10">
        <f t="shared" si="119"/>
        <v>1200</v>
      </c>
      <c r="W783" s="4" t="s">
        <v>122</v>
      </c>
      <c r="X783" s="2"/>
      <c r="Y783" s="11">
        <v>5</v>
      </c>
      <c r="Z783" s="12">
        <f t="shared" si="126"/>
        <v>0</v>
      </c>
      <c r="AA783" s="4" t="s">
        <v>259</v>
      </c>
      <c r="AC783" s="176">
        <f t="shared" si="122"/>
        <v>0</v>
      </c>
      <c r="AD783"/>
    </row>
    <row r="784" spans="2:30">
      <c r="B784" s="183">
        <f t="shared" si="127"/>
        <v>23</v>
      </c>
      <c r="C784" s="107" t="str">
        <f t="shared" si="128"/>
        <v>ATK</v>
      </c>
      <c r="D784" s="2" t="s">
        <v>2145</v>
      </c>
      <c r="E784" s="3">
        <v>43985</v>
      </c>
      <c r="F784" s="3">
        <v>43985</v>
      </c>
      <c r="G784" s="108">
        <f t="shared" si="129"/>
        <v>6</v>
      </c>
      <c r="H784" s="108" t="str">
        <f t="shared" si="130"/>
        <v>완료</v>
      </c>
      <c r="I784" s="112" t="s">
        <v>2146</v>
      </c>
      <c r="J784" s="4" t="s">
        <v>2147</v>
      </c>
      <c r="K784" s="5" t="s">
        <v>2148</v>
      </c>
      <c r="L784" s="6" t="str">
        <f t="shared" si="125"/>
        <v>Bum</v>
      </c>
      <c r="M784" s="13" t="s">
        <v>2149</v>
      </c>
      <c r="N784" s="7" t="s">
        <v>3812</v>
      </c>
      <c r="O784" s="13" t="s">
        <v>339</v>
      </c>
      <c r="P784" s="115" t="s">
        <v>2150</v>
      </c>
      <c r="Q784" s="8"/>
      <c r="R784" s="2">
        <v>1</v>
      </c>
      <c r="S784" s="9">
        <v>2000</v>
      </c>
      <c r="T784" s="10">
        <f t="shared" si="118"/>
        <v>1000</v>
      </c>
      <c r="U784" s="9">
        <v>5</v>
      </c>
      <c r="V784" s="10">
        <f t="shared" si="119"/>
        <v>995</v>
      </c>
      <c r="W784" s="4" t="s">
        <v>2151</v>
      </c>
      <c r="X784" s="2"/>
      <c r="Y784" s="11">
        <v>3</v>
      </c>
      <c r="Z784" s="12">
        <f t="shared" si="126"/>
        <v>0</v>
      </c>
      <c r="AA784" s="4" t="s">
        <v>2152</v>
      </c>
      <c r="AC784" s="176">
        <f t="shared" si="122"/>
        <v>4.5454545454545452E-3</v>
      </c>
      <c r="AD784"/>
    </row>
    <row r="785" spans="2:30">
      <c r="B785" s="183">
        <f t="shared" si="127"/>
        <v>23</v>
      </c>
      <c r="C785" s="107" t="str">
        <f t="shared" si="128"/>
        <v>ATK</v>
      </c>
      <c r="D785" s="2" t="s">
        <v>1579</v>
      </c>
      <c r="E785" s="3">
        <v>43985</v>
      </c>
      <c r="F785" s="3">
        <v>43985</v>
      </c>
      <c r="G785" s="108">
        <f t="shared" si="129"/>
        <v>6</v>
      </c>
      <c r="H785" s="108" t="str">
        <f t="shared" si="130"/>
        <v>완료</v>
      </c>
      <c r="I785" s="112" t="s">
        <v>218</v>
      </c>
      <c r="J785" s="4" t="s">
        <v>121</v>
      </c>
      <c r="K785" s="5" t="s">
        <v>136</v>
      </c>
      <c r="L785" s="6" t="str">
        <f t="shared" si="125"/>
        <v>5T1</v>
      </c>
      <c r="M785" s="13" t="s">
        <v>1031</v>
      </c>
      <c r="N785" s="7" t="s">
        <v>3813</v>
      </c>
      <c r="O785" s="13" t="s">
        <v>339</v>
      </c>
      <c r="P785" s="115" t="s">
        <v>672</v>
      </c>
      <c r="Q785" s="8" t="s">
        <v>2153</v>
      </c>
      <c r="R785" s="2">
        <v>1</v>
      </c>
      <c r="S785" s="9">
        <v>4500</v>
      </c>
      <c r="T785" s="10">
        <f t="shared" si="118"/>
        <v>2250</v>
      </c>
      <c r="U785" s="9">
        <v>1</v>
      </c>
      <c r="V785" s="10">
        <f t="shared" si="119"/>
        <v>2249</v>
      </c>
      <c r="W785" s="4" t="s">
        <v>122</v>
      </c>
      <c r="X785" s="2"/>
      <c r="Y785" s="11">
        <v>4</v>
      </c>
      <c r="Z785" s="12">
        <f t="shared" si="126"/>
        <v>0</v>
      </c>
      <c r="AA785" s="4" t="s">
        <v>120</v>
      </c>
      <c r="AC785" s="176">
        <f t="shared" si="122"/>
        <v>9.0909090909090909E-4</v>
      </c>
      <c r="AD785"/>
    </row>
    <row r="786" spans="2:30">
      <c r="B786" s="183">
        <f t="shared" si="127"/>
        <v>27</v>
      </c>
      <c r="C786" s="107" t="str">
        <f t="shared" si="128"/>
        <v>ATK</v>
      </c>
      <c r="D786" s="2" t="s">
        <v>1023</v>
      </c>
      <c r="E786" s="3">
        <v>43963</v>
      </c>
      <c r="F786" s="3">
        <v>44013</v>
      </c>
      <c r="G786" s="108">
        <f t="shared" si="129"/>
        <v>7</v>
      </c>
      <c r="H786" s="108" t="str">
        <f t="shared" si="130"/>
        <v>완료</v>
      </c>
      <c r="I786" s="112" t="s">
        <v>218</v>
      </c>
      <c r="J786" s="4" t="s">
        <v>127</v>
      </c>
      <c r="K786" s="5" t="s">
        <v>128</v>
      </c>
      <c r="L786" s="6" t="str">
        <f t="shared" si="125"/>
        <v>1T1</v>
      </c>
      <c r="M786" s="13" t="s">
        <v>2157</v>
      </c>
      <c r="N786" s="7" t="s">
        <v>3640</v>
      </c>
      <c r="O786" s="13" t="s">
        <v>1755</v>
      </c>
      <c r="P786" s="115" t="s">
        <v>2154</v>
      </c>
      <c r="Q786" s="8" t="s">
        <v>2155</v>
      </c>
      <c r="R786" s="2">
        <v>1</v>
      </c>
      <c r="S786" s="9">
        <v>560</v>
      </c>
      <c r="T786" s="10">
        <f t="shared" si="118"/>
        <v>280</v>
      </c>
      <c r="U786" s="9">
        <v>40</v>
      </c>
      <c r="V786" s="10">
        <f t="shared" si="119"/>
        <v>240</v>
      </c>
      <c r="W786" s="4" t="s">
        <v>122</v>
      </c>
      <c r="X786" s="2"/>
      <c r="Y786" s="11">
        <v>1</v>
      </c>
      <c r="Z786" s="12">
        <f t="shared" si="126"/>
        <v>50</v>
      </c>
      <c r="AA786" s="4" t="s">
        <v>120</v>
      </c>
      <c r="AC786" s="176">
        <f t="shared" si="122"/>
        <v>3.6363636363636362E-2</v>
      </c>
      <c r="AD786"/>
    </row>
    <row r="787" spans="2:30">
      <c r="B787" s="183">
        <f t="shared" si="127"/>
        <v>23</v>
      </c>
      <c r="C787" s="107" t="str">
        <f t="shared" si="128"/>
        <v>ATK</v>
      </c>
      <c r="D787" s="2" t="s">
        <v>2156</v>
      </c>
      <c r="E787" s="3">
        <v>43985</v>
      </c>
      <c r="F787" s="3">
        <v>43986</v>
      </c>
      <c r="G787" s="108">
        <f t="shared" si="129"/>
        <v>6</v>
      </c>
      <c r="H787" s="108" t="str">
        <f t="shared" si="130"/>
        <v>완료</v>
      </c>
      <c r="I787" s="112" t="s">
        <v>264</v>
      </c>
      <c r="J787" s="4" t="s">
        <v>121</v>
      </c>
      <c r="K787" s="5" t="s">
        <v>136</v>
      </c>
      <c r="L787" s="6" t="str">
        <f t="shared" si="125"/>
        <v>5T1</v>
      </c>
      <c r="M787" s="13" t="s">
        <v>207</v>
      </c>
      <c r="N787" s="7" t="s">
        <v>3723</v>
      </c>
      <c r="O787" s="7" t="s">
        <v>207</v>
      </c>
      <c r="P787" s="115" t="s">
        <v>2158</v>
      </c>
      <c r="Q787" s="8"/>
      <c r="R787" s="2">
        <v>1</v>
      </c>
      <c r="S787" s="9">
        <v>3000</v>
      </c>
      <c r="T787" s="10">
        <f t="shared" si="118"/>
        <v>1500</v>
      </c>
      <c r="U787" s="9">
        <v>25</v>
      </c>
      <c r="V787" s="10">
        <f t="shared" si="119"/>
        <v>1475</v>
      </c>
      <c r="W787" s="4" t="s">
        <v>122</v>
      </c>
      <c r="X787" s="2"/>
      <c r="Y787" s="11">
        <v>3</v>
      </c>
      <c r="Z787" s="12">
        <f t="shared" si="126"/>
        <v>1</v>
      </c>
      <c r="AA787" s="4" t="s">
        <v>2159</v>
      </c>
      <c r="AC787" s="176">
        <f t="shared" si="122"/>
        <v>2.2727272727272728E-2</v>
      </c>
      <c r="AD787"/>
    </row>
    <row r="788" spans="2:30" ht="24">
      <c r="B788" s="183">
        <f t="shared" si="127"/>
        <v>23</v>
      </c>
      <c r="C788" s="107" t="str">
        <f t="shared" si="128"/>
        <v>ATK</v>
      </c>
      <c r="D788" s="2" t="s">
        <v>1023</v>
      </c>
      <c r="E788" s="3">
        <v>43986</v>
      </c>
      <c r="F788" s="3">
        <v>43986</v>
      </c>
      <c r="G788" s="108">
        <f t="shared" si="129"/>
        <v>6</v>
      </c>
      <c r="H788" s="108" t="str">
        <f t="shared" si="130"/>
        <v>완료</v>
      </c>
      <c r="I788" s="112" t="s">
        <v>218</v>
      </c>
      <c r="J788" s="4" t="s">
        <v>127</v>
      </c>
      <c r="K788" s="5" t="s">
        <v>135</v>
      </c>
      <c r="L788" s="6" t="str">
        <f t="shared" si="125"/>
        <v>1T3</v>
      </c>
      <c r="M788" s="13" t="s">
        <v>1724</v>
      </c>
      <c r="N788" s="7" t="s">
        <v>3814</v>
      </c>
      <c r="O788" s="13" t="s">
        <v>2160</v>
      </c>
      <c r="P788" s="115" t="s">
        <v>2162</v>
      </c>
      <c r="Q788" s="8" t="s">
        <v>2161</v>
      </c>
      <c r="R788" s="2">
        <v>1</v>
      </c>
      <c r="S788" s="9">
        <v>120</v>
      </c>
      <c r="T788" s="10">
        <f t="shared" si="118"/>
        <v>60</v>
      </c>
      <c r="U788" s="9">
        <v>2</v>
      </c>
      <c r="V788" s="10">
        <f t="shared" si="119"/>
        <v>58</v>
      </c>
      <c r="W788" s="4" t="s">
        <v>122</v>
      </c>
      <c r="X788" s="2"/>
      <c r="Y788" s="11">
        <v>4</v>
      </c>
      <c r="Z788" s="12">
        <f t="shared" si="126"/>
        <v>0</v>
      </c>
      <c r="AA788" s="4" t="s">
        <v>120</v>
      </c>
      <c r="AC788" s="176">
        <f t="shared" si="122"/>
        <v>1.8181818181818182E-3</v>
      </c>
      <c r="AD788"/>
    </row>
    <row r="789" spans="2:30">
      <c r="B789" s="183">
        <f t="shared" si="127"/>
        <v>25</v>
      </c>
      <c r="C789" s="107" t="str">
        <f t="shared" si="128"/>
        <v>ATK</v>
      </c>
      <c r="D789" s="2" t="s">
        <v>2141</v>
      </c>
      <c r="E789" s="3">
        <v>43984</v>
      </c>
      <c r="F789" s="3">
        <v>43998</v>
      </c>
      <c r="G789" s="108">
        <f t="shared" si="129"/>
        <v>6</v>
      </c>
      <c r="H789" s="108" t="str">
        <f t="shared" si="130"/>
        <v>완료</v>
      </c>
      <c r="I789" s="112" t="s">
        <v>218</v>
      </c>
      <c r="J789" s="4" t="s">
        <v>756</v>
      </c>
      <c r="K789" s="5" t="s">
        <v>756</v>
      </c>
      <c r="L789" s="6" t="str">
        <f t="shared" si="125"/>
        <v>QA</v>
      </c>
      <c r="M789" s="13" t="s">
        <v>226</v>
      </c>
      <c r="N789" s="7" t="s">
        <v>140</v>
      </c>
      <c r="O789" s="13" t="s">
        <v>2163</v>
      </c>
      <c r="P789" s="115"/>
      <c r="Q789" s="8"/>
      <c r="R789" s="2">
        <v>1</v>
      </c>
      <c r="S789" s="9">
        <v>35000</v>
      </c>
      <c r="T789" s="10">
        <f t="shared" si="118"/>
        <v>17500</v>
      </c>
      <c r="U789" s="9">
        <v>50</v>
      </c>
      <c r="V789" s="10">
        <f t="shared" si="119"/>
        <v>17450</v>
      </c>
      <c r="W789" s="4" t="s">
        <v>122</v>
      </c>
      <c r="X789" s="2"/>
      <c r="Y789" s="11">
        <v>10</v>
      </c>
      <c r="Z789" s="12">
        <f t="shared" si="126"/>
        <v>14</v>
      </c>
      <c r="AA789" s="4" t="s">
        <v>27</v>
      </c>
      <c r="AC789" s="176">
        <f t="shared" si="122"/>
        <v>4.5454545454545456E-2</v>
      </c>
      <c r="AD789"/>
    </row>
    <row r="790" spans="2:30">
      <c r="B790" s="183">
        <f t="shared" si="127"/>
        <v>23</v>
      </c>
      <c r="C790" s="107" t="str">
        <f t="shared" si="128"/>
        <v>ATK</v>
      </c>
      <c r="D790" s="2" t="s">
        <v>1497</v>
      </c>
      <c r="E790" s="3">
        <v>43987</v>
      </c>
      <c r="F790" s="3">
        <v>43987</v>
      </c>
      <c r="G790" s="108">
        <f t="shared" si="129"/>
        <v>6</v>
      </c>
      <c r="H790" s="108" t="str">
        <f t="shared" si="130"/>
        <v>완료</v>
      </c>
      <c r="I790" s="112" t="s">
        <v>218</v>
      </c>
      <c r="J790" s="4" t="s">
        <v>115</v>
      </c>
      <c r="K790" s="5" t="s">
        <v>116</v>
      </c>
      <c r="L790" s="6" t="str">
        <f t="shared" si="125"/>
        <v>EE2</v>
      </c>
      <c r="M790" s="13" t="s">
        <v>256</v>
      </c>
      <c r="N790" s="7" t="s">
        <v>3506</v>
      </c>
      <c r="O790" s="13" t="s">
        <v>1498</v>
      </c>
      <c r="P790" s="115" t="s">
        <v>1499</v>
      </c>
      <c r="Q790" s="8"/>
      <c r="R790" s="2">
        <v>1</v>
      </c>
      <c r="S790" s="9">
        <v>400</v>
      </c>
      <c r="T790" s="10">
        <f t="shared" si="118"/>
        <v>200</v>
      </c>
      <c r="U790" s="9"/>
      <c r="V790" s="10">
        <f t="shared" si="119"/>
        <v>200</v>
      </c>
      <c r="W790" s="4" t="s">
        <v>122</v>
      </c>
      <c r="X790" s="2"/>
      <c r="Y790" s="11">
        <v>3</v>
      </c>
      <c r="Z790" s="12">
        <f t="shared" si="126"/>
        <v>0</v>
      </c>
      <c r="AA790" s="4" t="s">
        <v>259</v>
      </c>
      <c r="AC790" s="176">
        <f t="shared" si="122"/>
        <v>0</v>
      </c>
      <c r="AD790"/>
    </row>
    <row r="791" spans="2:30">
      <c r="B791" s="183">
        <f t="shared" si="127"/>
        <v>28</v>
      </c>
      <c r="C791" s="107" t="str">
        <f t="shared" si="128"/>
        <v>ATP</v>
      </c>
      <c r="D791" s="2" t="s">
        <v>141</v>
      </c>
      <c r="E791" s="3">
        <v>43986</v>
      </c>
      <c r="F791" s="3">
        <v>44019</v>
      </c>
      <c r="G791" s="108">
        <f t="shared" si="129"/>
        <v>7</v>
      </c>
      <c r="H791" s="108" t="str">
        <f t="shared" si="130"/>
        <v>완료</v>
      </c>
      <c r="I791" s="112" t="s">
        <v>514</v>
      </c>
      <c r="J791" s="4" t="s">
        <v>2164</v>
      </c>
      <c r="K791" s="5" t="s">
        <v>2164</v>
      </c>
      <c r="L791" s="6" t="str">
        <f t="shared" si="125"/>
        <v>ATP</v>
      </c>
      <c r="M791" s="196" t="s">
        <v>2166</v>
      </c>
      <c r="N791" s="115" t="s">
        <v>3815</v>
      </c>
      <c r="O791" s="13" t="s">
        <v>2169</v>
      </c>
      <c r="P791" s="115" t="s">
        <v>2184</v>
      </c>
      <c r="Q791" s="8" t="s">
        <v>2192</v>
      </c>
      <c r="R791" s="2">
        <v>1</v>
      </c>
      <c r="S791" s="9">
        <v>12760</v>
      </c>
      <c r="T791" s="10">
        <f t="shared" si="118"/>
        <v>6380</v>
      </c>
      <c r="U791" s="9">
        <v>730</v>
      </c>
      <c r="V791" s="10">
        <f t="shared" si="119"/>
        <v>5650</v>
      </c>
      <c r="W791" s="4" t="s">
        <v>123</v>
      </c>
      <c r="X791" s="2" t="s">
        <v>2211</v>
      </c>
      <c r="Y791" s="11">
        <v>1</v>
      </c>
      <c r="Z791" s="12">
        <f t="shared" si="126"/>
        <v>33</v>
      </c>
      <c r="AA791" s="4" t="s">
        <v>2256</v>
      </c>
      <c r="AB791" s="201" t="s">
        <v>5176</v>
      </c>
      <c r="AC791" s="176">
        <f t="shared" si="122"/>
        <v>0.66363636363636369</v>
      </c>
      <c r="AD791"/>
    </row>
    <row r="792" spans="2:30">
      <c r="B792" s="183">
        <f t="shared" si="127"/>
        <v>28</v>
      </c>
      <c r="C792" s="107" t="str">
        <f t="shared" si="128"/>
        <v>ATP</v>
      </c>
      <c r="D792" s="2" t="s">
        <v>141</v>
      </c>
      <c r="E792" s="3">
        <v>43986</v>
      </c>
      <c r="F792" s="3">
        <v>44019</v>
      </c>
      <c r="G792" s="108">
        <f t="shared" si="129"/>
        <v>7</v>
      </c>
      <c r="H792" s="108" t="str">
        <f t="shared" si="130"/>
        <v>완료</v>
      </c>
      <c r="I792" s="112" t="s">
        <v>514</v>
      </c>
      <c r="J792" s="4" t="s">
        <v>2164</v>
      </c>
      <c r="K792" s="5" t="s">
        <v>2164</v>
      </c>
      <c r="L792" s="6" t="str">
        <f t="shared" si="125"/>
        <v>ATP</v>
      </c>
      <c r="M792" s="196" t="s">
        <v>2166</v>
      </c>
      <c r="N792" s="115" t="s">
        <v>3815</v>
      </c>
      <c r="O792" s="13" t="s">
        <v>2170</v>
      </c>
      <c r="P792" s="115" t="s">
        <v>2183</v>
      </c>
      <c r="Q792" s="8" t="s">
        <v>2193</v>
      </c>
      <c r="R792" s="2">
        <v>1</v>
      </c>
      <c r="S792" s="9">
        <v>9280</v>
      </c>
      <c r="T792" s="10">
        <f t="shared" si="118"/>
        <v>4640</v>
      </c>
      <c r="U792" s="9">
        <v>4200</v>
      </c>
      <c r="V792" s="10">
        <f t="shared" si="119"/>
        <v>440</v>
      </c>
      <c r="W792" s="4" t="s">
        <v>123</v>
      </c>
      <c r="X792" s="2" t="s">
        <v>2211</v>
      </c>
      <c r="Y792" s="11">
        <v>1</v>
      </c>
      <c r="Z792" s="12">
        <f t="shared" si="126"/>
        <v>33</v>
      </c>
      <c r="AA792" s="4" t="s">
        <v>2256</v>
      </c>
      <c r="AB792" s="201" t="s">
        <v>5176</v>
      </c>
      <c r="AC792" s="176">
        <f t="shared" si="122"/>
        <v>3.8181818181818183</v>
      </c>
      <c r="AD792"/>
    </row>
    <row r="793" spans="2:30">
      <c r="B793" s="183">
        <f t="shared" si="127"/>
        <v>27</v>
      </c>
      <c r="C793" s="107" t="str">
        <f t="shared" si="128"/>
        <v>ATP</v>
      </c>
      <c r="D793" s="2" t="s">
        <v>141</v>
      </c>
      <c r="E793" s="3">
        <v>43986</v>
      </c>
      <c r="F793" s="3">
        <v>44014</v>
      </c>
      <c r="G793" s="108">
        <f t="shared" si="129"/>
        <v>7</v>
      </c>
      <c r="H793" s="108" t="str">
        <f t="shared" si="130"/>
        <v>수리불가</v>
      </c>
      <c r="I793" s="112" t="s">
        <v>670</v>
      </c>
      <c r="J793" s="4" t="s">
        <v>2164</v>
      </c>
      <c r="K793" s="5" t="s">
        <v>2164</v>
      </c>
      <c r="L793" s="6" t="str">
        <f t="shared" si="125"/>
        <v>ATP</v>
      </c>
      <c r="M793" s="196" t="s">
        <v>2165</v>
      </c>
      <c r="N793" s="7" t="s">
        <v>3540</v>
      </c>
      <c r="O793" s="13" t="s">
        <v>2171</v>
      </c>
      <c r="P793" s="115" t="s">
        <v>2175</v>
      </c>
      <c r="Q793" s="197" t="s">
        <v>2199</v>
      </c>
      <c r="R793" s="2">
        <v>1</v>
      </c>
      <c r="S793" s="9">
        <v>3480</v>
      </c>
      <c r="T793" s="10">
        <f t="shared" si="118"/>
        <v>1740</v>
      </c>
      <c r="U793" s="9">
        <v>0</v>
      </c>
      <c r="V793" s="10">
        <f t="shared" si="119"/>
        <v>1740</v>
      </c>
      <c r="W793" s="4" t="s">
        <v>123</v>
      </c>
      <c r="X793" s="2" t="s">
        <v>29</v>
      </c>
      <c r="Y793" s="11">
        <v>4</v>
      </c>
      <c r="Z793" s="12">
        <f t="shared" si="126"/>
        <v>28</v>
      </c>
      <c r="AA793" s="4" t="s">
        <v>2255</v>
      </c>
      <c r="AC793" s="176">
        <f t="shared" si="122"/>
        <v>0</v>
      </c>
      <c r="AD793"/>
    </row>
    <row r="794" spans="2:30">
      <c r="B794" s="183">
        <f t="shared" si="127"/>
        <v>24</v>
      </c>
      <c r="C794" s="107" t="str">
        <f t="shared" si="128"/>
        <v>ATP</v>
      </c>
      <c r="D794" s="2" t="s">
        <v>141</v>
      </c>
      <c r="E794" s="3">
        <v>43986</v>
      </c>
      <c r="F794" s="3">
        <v>43991</v>
      </c>
      <c r="G794" s="108">
        <f t="shared" si="129"/>
        <v>6</v>
      </c>
      <c r="H794" s="108" t="str">
        <f t="shared" si="130"/>
        <v>완료</v>
      </c>
      <c r="I794" s="112" t="s">
        <v>2232</v>
      </c>
      <c r="J794" s="4" t="s">
        <v>2164</v>
      </c>
      <c r="K794" s="5" t="s">
        <v>2164</v>
      </c>
      <c r="L794" s="6" t="str">
        <f t="shared" si="125"/>
        <v>ATP</v>
      </c>
      <c r="M794" s="13" t="s">
        <v>399</v>
      </c>
      <c r="N794" s="7" t="s">
        <v>3816</v>
      </c>
      <c r="O794" s="196" t="s">
        <v>2185</v>
      </c>
      <c r="P794" s="115" t="s">
        <v>2176</v>
      </c>
      <c r="Q794" s="8" t="s">
        <v>2187</v>
      </c>
      <c r="R794" s="2">
        <v>1</v>
      </c>
      <c r="S794" s="9">
        <v>470</v>
      </c>
      <c r="T794" s="10">
        <f t="shared" si="118"/>
        <v>235</v>
      </c>
      <c r="U794" s="9">
        <v>5</v>
      </c>
      <c r="V794" s="10">
        <f t="shared" si="119"/>
        <v>230</v>
      </c>
      <c r="W794" s="4" t="s">
        <v>2233</v>
      </c>
      <c r="X794" s="2"/>
      <c r="Y794" s="11">
        <v>5</v>
      </c>
      <c r="Z794" s="12">
        <f t="shared" si="126"/>
        <v>5</v>
      </c>
      <c r="AA794" s="4" t="s">
        <v>2234</v>
      </c>
      <c r="AC794" s="176">
        <f t="shared" si="122"/>
        <v>4.5454545454545452E-3</v>
      </c>
      <c r="AD794" s="199">
        <f>V794/1100</f>
        <v>0.20909090909090908</v>
      </c>
    </row>
    <row r="795" spans="2:30">
      <c r="B795" s="183">
        <f t="shared" si="127"/>
        <v>30</v>
      </c>
      <c r="C795" s="107" t="str">
        <f t="shared" si="128"/>
        <v>ATP</v>
      </c>
      <c r="D795" s="2" t="s">
        <v>141</v>
      </c>
      <c r="E795" s="3">
        <v>43986</v>
      </c>
      <c r="F795" s="3">
        <v>44033</v>
      </c>
      <c r="G795" s="108">
        <f t="shared" si="129"/>
        <v>7</v>
      </c>
      <c r="H795" s="108" t="str">
        <f t="shared" si="130"/>
        <v>완료</v>
      </c>
      <c r="I795" s="112" t="s">
        <v>2964</v>
      </c>
      <c r="J795" s="4" t="s">
        <v>2164</v>
      </c>
      <c r="K795" s="5" t="s">
        <v>2164</v>
      </c>
      <c r="L795" s="6" t="str">
        <f t="shared" si="125"/>
        <v>ATP</v>
      </c>
      <c r="M795" s="13" t="s">
        <v>399</v>
      </c>
      <c r="N795" s="7" t="s">
        <v>3816</v>
      </c>
      <c r="O795" s="196" t="s">
        <v>2185</v>
      </c>
      <c r="P795" s="115" t="s">
        <v>2283</v>
      </c>
      <c r="Q795" s="8" t="s">
        <v>2188</v>
      </c>
      <c r="R795" s="2">
        <v>1</v>
      </c>
      <c r="S795" s="9">
        <v>470</v>
      </c>
      <c r="T795" s="10">
        <f t="shared" si="118"/>
        <v>235</v>
      </c>
      <c r="U795" s="9">
        <v>5</v>
      </c>
      <c r="V795" s="10">
        <f t="shared" si="119"/>
        <v>230</v>
      </c>
      <c r="W795" s="4" t="s">
        <v>2233</v>
      </c>
      <c r="X795" s="2"/>
      <c r="Y795" s="11">
        <v>5</v>
      </c>
      <c r="Z795" s="12">
        <f t="shared" si="126"/>
        <v>47</v>
      </c>
      <c r="AA795" s="4" t="s">
        <v>2234</v>
      </c>
      <c r="AC795" s="176">
        <f t="shared" si="122"/>
        <v>4.5454545454545452E-3</v>
      </c>
      <c r="AD795"/>
    </row>
    <row r="796" spans="2:30">
      <c r="B796" s="183">
        <f t="shared" si="127"/>
        <v>30</v>
      </c>
      <c r="C796" s="107" t="str">
        <f t="shared" si="128"/>
        <v>ATP</v>
      </c>
      <c r="D796" s="2" t="s">
        <v>141</v>
      </c>
      <c r="E796" s="3">
        <v>43986</v>
      </c>
      <c r="F796" s="3">
        <v>44033</v>
      </c>
      <c r="G796" s="108">
        <f t="shared" si="129"/>
        <v>7</v>
      </c>
      <c r="H796" s="108" t="str">
        <f t="shared" si="130"/>
        <v>수리불가</v>
      </c>
      <c r="I796" s="112" t="s">
        <v>601</v>
      </c>
      <c r="J796" s="4" t="s">
        <v>2164</v>
      </c>
      <c r="K796" s="5" t="s">
        <v>2164</v>
      </c>
      <c r="L796" s="6" t="str">
        <f t="shared" si="125"/>
        <v>ATP</v>
      </c>
      <c r="M796" s="196" t="s">
        <v>2165</v>
      </c>
      <c r="N796" s="7" t="s">
        <v>3642</v>
      </c>
      <c r="O796" s="13" t="s">
        <v>385</v>
      </c>
      <c r="P796" s="115" t="s">
        <v>2177</v>
      </c>
      <c r="Q796" s="8" t="s">
        <v>2189</v>
      </c>
      <c r="R796" s="2">
        <v>1</v>
      </c>
      <c r="S796" s="9">
        <v>3480</v>
      </c>
      <c r="T796" s="10">
        <f t="shared" si="118"/>
        <v>1740</v>
      </c>
      <c r="U796" s="9">
        <v>0</v>
      </c>
      <c r="V796" s="10">
        <f t="shared" si="119"/>
        <v>1740</v>
      </c>
      <c r="W796" s="4" t="s">
        <v>249</v>
      </c>
      <c r="X796" s="2"/>
      <c r="Y796" s="11">
        <v>1</v>
      </c>
      <c r="Z796" s="12">
        <f t="shared" si="126"/>
        <v>47</v>
      </c>
      <c r="AA796" s="4" t="s">
        <v>117</v>
      </c>
      <c r="AC796" s="176">
        <f t="shared" si="122"/>
        <v>0</v>
      </c>
      <c r="AD796"/>
    </row>
    <row r="797" spans="2:30">
      <c r="B797" s="183">
        <f t="shared" si="127"/>
        <v>30</v>
      </c>
      <c r="C797" s="107" t="str">
        <f t="shared" si="128"/>
        <v>ATP</v>
      </c>
      <c r="D797" s="2" t="s">
        <v>141</v>
      </c>
      <c r="E797" s="3">
        <v>43986</v>
      </c>
      <c r="F797" s="3">
        <v>44033</v>
      </c>
      <c r="G797" s="108">
        <f t="shared" si="129"/>
        <v>7</v>
      </c>
      <c r="H797" s="108" t="str">
        <f t="shared" si="130"/>
        <v>완료</v>
      </c>
      <c r="I797" s="112" t="s">
        <v>2964</v>
      </c>
      <c r="J797" s="4" t="s">
        <v>2164</v>
      </c>
      <c r="K797" s="5" t="s">
        <v>2164</v>
      </c>
      <c r="L797" s="6" t="str">
        <f t="shared" si="125"/>
        <v>ATP</v>
      </c>
      <c r="M797" s="13" t="s">
        <v>2167</v>
      </c>
      <c r="N797" s="7" t="s">
        <v>3478</v>
      </c>
      <c r="O797" s="13" t="s">
        <v>389</v>
      </c>
      <c r="P797" s="115" t="s">
        <v>2178</v>
      </c>
      <c r="Q797" s="8" t="s">
        <v>2194</v>
      </c>
      <c r="R797" s="2">
        <v>1</v>
      </c>
      <c r="S797" s="9">
        <v>2900</v>
      </c>
      <c r="T797" s="10">
        <f t="shared" si="118"/>
        <v>1450</v>
      </c>
      <c r="U797" s="9">
        <v>5</v>
      </c>
      <c r="V797" s="10">
        <f t="shared" si="119"/>
        <v>1445</v>
      </c>
      <c r="W797" s="4" t="s">
        <v>2965</v>
      </c>
      <c r="X797" s="2"/>
      <c r="Y797" s="11">
        <v>3</v>
      </c>
      <c r="Z797" s="12">
        <f t="shared" si="126"/>
        <v>47</v>
      </c>
      <c r="AA797" s="4" t="s">
        <v>2966</v>
      </c>
      <c r="AC797" s="176">
        <f t="shared" si="122"/>
        <v>4.5454545454545452E-3</v>
      </c>
      <c r="AD797"/>
    </row>
    <row r="798" spans="2:30">
      <c r="B798" s="183">
        <f t="shared" si="127"/>
        <v>30</v>
      </c>
      <c r="C798" s="107" t="str">
        <f t="shared" si="128"/>
        <v>ATP</v>
      </c>
      <c r="D798" s="2" t="s">
        <v>141</v>
      </c>
      <c r="E798" s="3">
        <v>43986</v>
      </c>
      <c r="F798" s="3">
        <v>44033</v>
      </c>
      <c r="G798" s="108">
        <f t="shared" si="129"/>
        <v>7</v>
      </c>
      <c r="H798" s="108" t="str">
        <f t="shared" si="130"/>
        <v>완료</v>
      </c>
      <c r="I798" s="112" t="s">
        <v>2964</v>
      </c>
      <c r="J798" s="4" t="s">
        <v>2164</v>
      </c>
      <c r="K798" s="5" t="s">
        <v>2164</v>
      </c>
      <c r="L798" s="6" t="str">
        <f t="shared" si="125"/>
        <v>ATP</v>
      </c>
      <c r="M798" s="13" t="s">
        <v>2168</v>
      </c>
      <c r="N798" s="7" t="s">
        <v>3478</v>
      </c>
      <c r="O798" s="13" t="s">
        <v>389</v>
      </c>
      <c r="P798" s="115" t="s">
        <v>2178</v>
      </c>
      <c r="Q798" s="8" t="s">
        <v>2195</v>
      </c>
      <c r="R798" s="2">
        <v>1</v>
      </c>
      <c r="S798" s="9">
        <v>2900</v>
      </c>
      <c r="T798" s="10">
        <f t="shared" si="118"/>
        <v>1450</v>
      </c>
      <c r="U798" s="9">
        <v>5</v>
      </c>
      <c r="V798" s="10">
        <f t="shared" si="119"/>
        <v>1445</v>
      </c>
      <c r="W798" s="4" t="s">
        <v>2965</v>
      </c>
      <c r="X798" s="2"/>
      <c r="Y798" s="11">
        <v>3</v>
      </c>
      <c r="Z798" s="12">
        <f t="shared" si="126"/>
        <v>47</v>
      </c>
      <c r="AA798" s="4" t="s">
        <v>2967</v>
      </c>
      <c r="AC798" s="176">
        <f t="shared" si="122"/>
        <v>4.5454545454545452E-3</v>
      </c>
      <c r="AD798"/>
    </row>
    <row r="799" spans="2:30">
      <c r="B799" s="183">
        <f t="shared" si="127"/>
        <v>30</v>
      </c>
      <c r="C799" s="107" t="str">
        <f t="shared" si="128"/>
        <v>ATP</v>
      </c>
      <c r="D799" s="2" t="s">
        <v>141</v>
      </c>
      <c r="E799" s="3">
        <v>43986</v>
      </c>
      <c r="F799" s="3">
        <v>44033</v>
      </c>
      <c r="G799" s="108">
        <f t="shared" si="129"/>
        <v>7</v>
      </c>
      <c r="H799" s="108" t="str">
        <f t="shared" si="130"/>
        <v>완료</v>
      </c>
      <c r="I799" s="112" t="s">
        <v>2964</v>
      </c>
      <c r="J799" s="4" t="s">
        <v>2164</v>
      </c>
      <c r="K799" s="5" t="s">
        <v>2164</v>
      </c>
      <c r="L799" s="6" t="str">
        <f t="shared" si="125"/>
        <v>ATP</v>
      </c>
      <c r="M799" s="13" t="s">
        <v>256</v>
      </c>
      <c r="N799" s="7" t="s">
        <v>3478</v>
      </c>
      <c r="O799" s="13" t="s">
        <v>389</v>
      </c>
      <c r="P799" s="115" t="s">
        <v>2179</v>
      </c>
      <c r="Q799" s="8" t="s">
        <v>2196</v>
      </c>
      <c r="R799" s="2">
        <v>1</v>
      </c>
      <c r="S799" s="9">
        <v>2320</v>
      </c>
      <c r="T799" s="10">
        <f t="shared" si="118"/>
        <v>1160</v>
      </c>
      <c r="U799" s="9">
        <v>5</v>
      </c>
      <c r="V799" s="10">
        <f t="shared" si="119"/>
        <v>1155</v>
      </c>
      <c r="W799" s="4" t="s">
        <v>2965</v>
      </c>
      <c r="X799" s="2"/>
      <c r="Y799" s="11">
        <v>3</v>
      </c>
      <c r="Z799" s="12">
        <f t="shared" si="126"/>
        <v>47</v>
      </c>
      <c r="AA799" s="4" t="s">
        <v>117</v>
      </c>
      <c r="AC799" s="176">
        <f t="shared" si="122"/>
        <v>4.5454545454545452E-3</v>
      </c>
      <c r="AD799"/>
    </row>
    <row r="800" spans="2:30">
      <c r="B800" s="183">
        <f t="shared" si="127"/>
        <v>30</v>
      </c>
      <c r="C800" s="107" t="str">
        <f t="shared" si="128"/>
        <v>ATP</v>
      </c>
      <c r="D800" s="2" t="s">
        <v>141</v>
      </c>
      <c r="E800" s="3">
        <v>43986</v>
      </c>
      <c r="F800" s="3">
        <v>44033</v>
      </c>
      <c r="G800" s="108">
        <f t="shared" si="129"/>
        <v>7</v>
      </c>
      <c r="H800" s="108" t="str">
        <f t="shared" si="130"/>
        <v>완료</v>
      </c>
      <c r="I800" s="112" t="s">
        <v>2964</v>
      </c>
      <c r="J800" s="4" t="s">
        <v>2164</v>
      </c>
      <c r="K800" s="5" t="s">
        <v>2164</v>
      </c>
      <c r="L800" s="6" t="str">
        <f t="shared" si="125"/>
        <v>ATP</v>
      </c>
      <c r="M800" s="13" t="s">
        <v>256</v>
      </c>
      <c r="N800" s="7" t="s">
        <v>3478</v>
      </c>
      <c r="O800" s="13" t="s">
        <v>389</v>
      </c>
      <c r="P800" s="115" t="s">
        <v>2180</v>
      </c>
      <c r="Q800" s="8" t="s">
        <v>2190</v>
      </c>
      <c r="R800" s="2">
        <v>1</v>
      </c>
      <c r="S800" s="9">
        <v>2320</v>
      </c>
      <c r="T800" s="10">
        <f t="shared" si="118"/>
        <v>1160</v>
      </c>
      <c r="U800" s="9">
        <v>5</v>
      </c>
      <c r="V800" s="10">
        <f t="shared" si="119"/>
        <v>1155</v>
      </c>
      <c r="W800" s="4" t="s">
        <v>2965</v>
      </c>
      <c r="X800" s="2"/>
      <c r="Y800" s="11">
        <v>3</v>
      </c>
      <c r="Z800" s="12">
        <f t="shared" si="126"/>
        <v>47</v>
      </c>
      <c r="AA800" s="4" t="s">
        <v>2967</v>
      </c>
      <c r="AC800" s="176">
        <f t="shared" si="122"/>
        <v>4.5454545454545452E-3</v>
      </c>
      <c r="AD800"/>
    </row>
    <row r="801" spans="2:30">
      <c r="B801" s="183">
        <f t="shared" si="127"/>
        <v>24</v>
      </c>
      <c r="C801" s="107" t="str">
        <f t="shared" si="128"/>
        <v>ATP</v>
      </c>
      <c r="D801" s="2" t="s">
        <v>141</v>
      </c>
      <c r="E801" s="3">
        <v>43986</v>
      </c>
      <c r="F801" s="3">
        <v>43993</v>
      </c>
      <c r="G801" s="108">
        <f t="shared" si="129"/>
        <v>6</v>
      </c>
      <c r="H801" s="108" t="str">
        <f t="shared" si="130"/>
        <v>완료</v>
      </c>
      <c r="I801" s="112" t="s">
        <v>218</v>
      </c>
      <c r="J801" s="4" t="s">
        <v>2164</v>
      </c>
      <c r="K801" s="5" t="s">
        <v>2164</v>
      </c>
      <c r="L801" s="6" t="str">
        <f t="shared" si="125"/>
        <v>ATP</v>
      </c>
      <c r="M801" s="13" t="s">
        <v>256</v>
      </c>
      <c r="N801" s="115" t="s">
        <v>3817</v>
      </c>
      <c r="O801" s="13" t="s">
        <v>2172</v>
      </c>
      <c r="P801" s="115" t="s">
        <v>2181</v>
      </c>
      <c r="Q801" s="8" t="s">
        <v>2197</v>
      </c>
      <c r="R801" s="2">
        <v>1</v>
      </c>
      <c r="S801" s="9">
        <v>4640</v>
      </c>
      <c r="T801" s="10">
        <f t="shared" si="118"/>
        <v>2320</v>
      </c>
      <c r="U801" s="9">
        <v>5</v>
      </c>
      <c r="V801" s="10">
        <f t="shared" si="119"/>
        <v>2315</v>
      </c>
      <c r="W801" s="4" t="s">
        <v>122</v>
      </c>
      <c r="X801" s="2"/>
      <c r="Y801" s="11">
        <v>4</v>
      </c>
      <c r="Z801" s="12">
        <f t="shared" si="126"/>
        <v>7</v>
      </c>
      <c r="AA801" s="4" t="s">
        <v>117</v>
      </c>
      <c r="AC801" s="176">
        <f t="shared" si="122"/>
        <v>4.5454545454545452E-3</v>
      </c>
      <c r="AD801"/>
    </row>
    <row r="802" spans="2:30">
      <c r="B802" s="183">
        <f t="shared" si="127"/>
        <v>30</v>
      </c>
      <c r="C802" s="107" t="str">
        <f t="shared" si="128"/>
        <v>ATP</v>
      </c>
      <c r="D802" s="2" t="s">
        <v>141</v>
      </c>
      <c r="E802" s="3">
        <v>43986</v>
      </c>
      <c r="F802" s="3">
        <v>44033</v>
      </c>
      <c r="G802" s="108">
        <f t="shared" si="129"/>
        <v>7</v>
      </c>
      <c r="H802" s="108" t="str">
        <f t="shared" si="130"/>
        <v>수리불가</v>
      </c>
      <c r="I802" s="112" t="s">
        <v>601</v>
      </c>
      <c r="J802" s="4" t="s">
        <v>2164</v>
      </c>
      <c r="K802" s="5" t="s">
        <v>2164</v>
      </c>
      <c r="L802" s="6" t="str">
        <f t="shared" si="125"/>
        <v>ATP</v>
      </c>
      <c r="M802" s="196" t="s">
        <v>2165</v>
      </c>
      <c r="N802" s="7" t="s">
        <v>3642</v>
      </c>
      <c r="O802" s="13" t="s">
        <v>2173</v>
      </c>
      <c r="P802" s="115" t="s">
        <v>2186</v>
      </c>
      <c r="Q802" s="8" t="s">
        <v>2191</v>
      </c>
      <c r="R802" s="2">
        <v>1</v>
      </c>
      <c r="S802" s="9">
        <v>2320</v>
      </c>
      <c r="T802" s="10">
        <f t="shared" si="118"/>
        <v>1160</v>
      </c>
      <c r="U802" s="9">
        <v>0</v>
      </c>
      <c r="V802" s="10">
        <f t="shared" si="119"/>
        <v>1160</v>
      </c>
      <c r="W802" s="4" t="s">
        <v>122</v>
      </c>
      <c r="X802" s="2"/>
      <c r="Y802" s="11">
        <v>4</v>
      </c>
      <c r="Z802" s="12">
        <f t="shared" si="126"/>
        <v>47</v>
      </c>
      <c r="AA802" s="4" t="s">
        <v>2457</v>
      </c>
      <c r="AC802" s="176">
        <f t="shared" si="122"/>
        <v>0</v>
      </c>
      <c r="AD802"/>
    </row>
    <row r="803" spans="2:30">
      <c r="B803" s="183">
        <f t="shared" si="127"/>
        <v>24</v>
      </c>
      <c r="C803" s="107" t="str">
        <f t="shared" si="128"/>
        <v>ATP</v>
      </c>
      <c r="D803" s="2" t="s">
        <v>141</v>
      </c>
      <c r="E803" s="3">
        <v>43986</v>
      </c>
      <c r="F803" s="3">
        <v>43993</v>
      </c>
      <c r="G803" s="108">
        <f t="shared" si="129"/>
        <v>6</v>
      </c>
      <c r="H803" s="108" t="str">
        <f t="shared" si="130"/>
        <v>완료</v>
      </c>
      <c r="I803" s="112" t="s">
        <v>218</v>
      </c>
      <c r="J803" s="4" t="s">
        <v>2164</v>
      </c>
      <c r="K803" s="5" t="s">
        <v>2164</v>
      </c>
      <c r="L803" s="6" t="str">
        <f t="shared" si="125"/>
        <v>ATP</v>
      </c>
      <c r="M803" s="196" t="s">
        <v>2165</v>
      </c>
      <c r="N803" s="7" t="s">
        <v>3540</v>
      </c>
      <c r="O803" s="13" t="s">
        <v>2174</v>
      </c>
      <c r="P803" s="115" t="s">
        <v>2182</v>
      </c>
      <c r="Q803" s="8" t="s">
        <v>2198</v>
      </c>
      <c r="R803" s="2">
        <v>1</v>
      </c>
      <c r="S803" s="9">
        <v>3480</v>
      </c>
      <c r="T803" s="10">
        <f t="shared" si="118"/>
        <v>1740</v>
      </c>
      <c r="U803" s="9">
        <v>20</v>
      </c>
      <c r="V803" s="10">
        <f t="shared" si="119"/>
        <v>1720</v>
      </c>
      <c r="W803" s="4" t="s">
        <v>122</v>
      </c>
      <c r="X803" s="2"/>
      <c r="Y803" s="11">
        <v>4</v>
      </c>
      <c r="Z803" s="12">
        <f t="shared" si="126"/>
        <v>7</v>
      </c>
      <c r="AA803" s="4" t="s">
        <v>117</v>
      </c>
      <c r="AC803" s="176">
        <f t="shared" si="122"/>
        <v>1.8181818181818181E-2</v>
      </c>
      <c r="AD803"/>
    </row>
    <row r="804" spans="2:30">
      <c r="B804" s="183">
        <f t="shared" si="127"/>
        <v>23</v>
      </c>
      <c r="C804" s="107" t="str">
        <f t="shared" si="128"/>
        <v>ATK</v>
      </c>
      <c r="D804" s="2" t="s">
        <v>295</v>
      </c>
      <c r="E804" s="3">
        <v>43985</v>
      </c>
      <c r="F804" s="3">
        <v>43986</v>
      </c>
      <c r="G804" s="108">
        <f t="shared" si="129"/>
        <v>6</v>
      </c>
      <c r="H804" s="108" t="str">
        <f t="shared" si="130"/>
        <v>완료</v>
      </c>
      <c r="I804" s="112" t="s">
        <v>218</v>
      </c>
      <c r="J804" s="4" t="s">
        <v>132</v>
      </c>
      <c r="K804" s="5" t="s">
        <v>133</v>
      </c>
      <c r="L804" s="6" t="str">
        <f t="shared" si="125"/>
        <v>3T3</v>
      </c>
      <c r="M804" s="13" t="s">
        <v>1574</v>
      </c>
      <c r="N804" s="7" t="s">
        <v>3818</v>
      </c>
      <c r="O804" s="13" t="s">
        <v>1744</v>
      </c>
      <c r="P804" s="115" t="s">
        <v>2200</v>
      </c>
      <c r="Q804" s="8"/>
      <c r="R804" s="2">
        <v>2</v>
      </c>
      <c r="S804" s="9">
        <v>1500</v>
      </c>
      <c r="T804" s="10">
        <f t="shared" si="118"/>
        <v>1500</v>
      </c>
      <c r="U804" s="9">
        <v>0</v>
      </c>
      <c r="V804" s="10">
        <f t="shared" si="119"/>
        <v>1500</v>
      </c>
      <c r="W804" s="4" t="s">
        <v>122</v>
      </c>
      <c r="X804" s="2"/>
      <c r="Y804" s="11">
        <v>8</v>
      </c>
      <c r="Z804" s="12">
        <f t="shared" si="126"/>
        <v>1</v>
      </c>
      <c r="AA804" s="4" t="s">
        <v>212</v>
      </c>
      <c r="AC804" s="176">
        <f t="shared" si="122"/>
        <v>0</v>
      </c>
      <c r="AD804"/>
    </row>
    <row r="805" spans="2:30">
      <c r="B805" s="183">
        <f t="shared" si="127"/>
        <v>23</v>
      </c>
      <c r="C805" s="107" t="str">
        <f t="shared" si="128"/>
        <v>ATK</v>
      </c>
      <c r="D805" s="2" t="s">
        <v>1011</v>
      </c>
      <c r="E805" s="3">
        <v>43986</v>
      </c>
      <c r="F805" s="3">
        <v>43986</v>
      </c>
      <c r="G805" s="108">
        <f t="shared" si="129"/>
        <v>6</v>
      </c>
      <c r="H805" s="108" t="str">
        <f t="shared" si="130"/>
        <v>완료</v>
      </c>
      <c r="I805" s="112" t="s">
        <v>218</v>
      </c>
      <c r="J805" s="4" t="s">
        <v>808</v>
      </c>
      <c r="K805" s="5" t="s">
        <v>833</v>
      </c>
      <c r="L805" s="6" t="str">
        <f t="shared" si="125"/>
        <v>1T3</v>
      </c>
      <c r="M805" s="13" t="s">
        <v>1754</v>
      </c>
      <c r="N805" s="7" t="s">
        <v>3640</v>
      </c>
      <c r="O805" s="13" t="s">
        <v>1755</v>
      </c>
      <c r="P805" s="115"/>
      <c r="Q805" s="8"/>
      <c r="R805" s="2">
        <v>1</v>
      </c>
      <c r="S805" s="9">
        <v>560</v>
      </c>
      <c r="T805" s="10">
        <f t="shared" si="118"/>
        <v>280</v>
      </c>
      <c r="U805" s="9">
        <v>14</v>
      </c>
      <c r="V805" s="10">
        <f t="shared" si="119"/>
        <v>266</v>
      </c>
      <c r="W805" s="4" t="s">
        <v>122</v>
      </c>
      <c r="X805" s="2"/>
      <c r="Y805" s="11">
        <v>2</v>
      </c>
      <c r="Z805" s="12">
        <f t="shared" si="126"/>
        <v>0</v>
      </c>
      <c r="AA805" s="4" t="s">
        <v>27</v>
      </c>
      <c r="AC805" s="176">
        <f t="shared" si="122"/>
        <v>1.2727272727272728E-2</v>
      </c>
      <c r="AD805"/>
    </row>
    <row r="806" spans="2:30">
      <c r="B806" s="183">
        <f t="shared" si="127"/>
        <v>23</v>
      </c>
      <c r="C806" s="107" t="str">
        <f t="shared" si="128"/>
        <v>ATK</v>
      </c>
      <c r="D806" s="2" t="s">
        <v>2201</v>
      </c>
      <c r="E806" s="3">
        <v>43986</v>
      </c>
      <c r="F806" s="3">
        <v>43986</v>
      </c>
      <c r="G806" s="108">
        <f t="shared" si="129"/>
        <v>6</v>
      </c>
      <c r="H806" s="108" t="str">
        <f t="shared" si="130"/>
        <v>완료</v>
      </c>
      <c r="I806" s="112" t="s">
        <v>218</v>
      </c>
      <c r="J806" s="4" t="s">
        <v>132</v>
      </c>
      <c r="K806" s="5" t="s">
        <v>133</v>
      </c>
      <c r="L806" s="6" t="str">
        <f t="shared" si="125"/>
        <v>3T3</v>
      </c>
      <c r="M806" s="13" t="s">
        <v>2202</v>
      </c>
      <c r="N806" s="7" t="s">
        <v>3546</v>
      </c>
      <c r="O806" s="13" t="s">
        <v>1032</v>
      </c>
      <c r="P806" s="115"/>
      <c r="Q806" s="8"/>
      <c r="R806" s="2">
        <v>1</v>
      </c>
      <c r="S806" s="9">
        <v>400</v>
      </c>
      <c r="T806" s="10">
        <f t="shared" si="118"/>
        <v>200</v>
      </c>
      <c r="U806" s="9">
        <v>6</v>
      </c>
      <c r="V806" s="10">
        <f t="shared" si="119"/>
        <v>194</v>
      </c>
      <c r="W806" s="4" t="s">
        <v>122</v>
      </c>
      <c r="X806" s="2"/>
      <c r="Y806" s="11">
        <v>1</v>
      </c>
      <c r="Z806" s="12">
        <f t="shared" si="126"/>
        <v>0</v>
      </c>
      <c r="AA806" s="4" t="s">
        <v>117</v>
      </c>
      <c r="AC806" s="176">
        <f t="shared" si="122"/>
        <v>5.454545454545455E-3</v>
      </c>
      <c r="AD806"/>
    </row>
    <row r="807" spans="2:30">
      <c r="B807" s="183">
        <f t="shared" si="127"/>
        <v>23</v>
      </c>
      <c r="C807" s="107" t="str">
        <f t="shared" si="128"/>
        <v>ATK</v>
      </c>
      <c r="D807" s="2" t="s">
        <v>1073</v>
      </c>
      <c r="E807" s="3">
        <v>43986</v>
      </c>
      <c r="F807" s="3">
        <v>43986</v>
      </c>
      <c r="G807" s="108">
        <f t="shared" si="129"/>
        <v>6</v>
      </c>
      <c r="H807" s="108" t="str">
        <f t="shared" si="130"/>
        <v>완료</v>
      </c>
      <c r="I807" s="112" t="s">
        <v>218</v>
      </c>
      <c r="J807" s="4" t="s">
        <v>139</v>
      </c>
      <c r="K807" s="5" t="s">
        <v>177</v>
      </c>
      <c r="L807" s="6" t="str">
        <f t="shared" si="125"/>
        <v>Bum</v>
      </c>
      <c r="M807" s="13" t="s">
        <v>2062</v>
      </c>
      <c r="N807" s="7"/>
      <c r="O807" s="13" t="s">
        <v>2063</v>
      </c>
      <c r="P807" s="115" t="s">
        <v>2064</v>
      </c>
      <c r="Q807" s="8"/>
      <c r="R807" s="2">
        <v>2</v>
      </c>
      <c r="S807" s="9">
        <v>25000</v>
      </c>
      <c r="T807" s="10">
        <f t="shared" si="118"/>
        <v>25000</v>
      </c>
      <c r="U807" s="9">
        <v>70</v>
      </c>
      <c r="V807" s="10">
        <f t="shared" si="119"/>
        <v>24930</v>
      </c>
      <c r="W807" s="4" t="s">
        <v>122</v>
      </c>
      <c r="X807" s="2"/>
      <c r="Y807" s="11">
        <v>12</v>
      </c>
      <c r="Z807" s="12">
        <f t="shared" si="126"/>
        <v>0</v>
      </c>
      <c r="AA807" s="4" t="s">
        <v>117</v>
      </c>
      <c r="AC807" s="176">
        <f t="shared" si="122"/>
        <v>6.363636363636363E-2</v>
      </c>
      <c r="AD807"/>
    </row>
    <row r="808" spans="2:30">
      <c r="B808" s="183">
        <f t="shared" si="127"/>
        <v>27</v>
      </c>
      <c r="C808" s="107" t="str">
        <f t="shared" si="128"/>
        <v>ATK</v>
      </c>
      <c r="D808" s="2" t="s">
        <v>2203</v>
      </c>
      <c r="E808" s="3">
        <v>43986</v>
      </c>
      <c r="F808" s="3">
        <v>44013</v>
      </c>
      <c r="G808" s="108">
        <f t="shared" si="129"/>
        <v>7</v>
      </c>
      <c r="H808" s="108" t="str">
        <f t="shared" si="130"/>
        <v>완료</v>
      </c>
      <c r="I808" s="112" t="s">
        <v>514</v>
      </c>
      <c r="J808" s="4" t="s">
        <v>139</v>
      </c>
      <c r="K808" s="5" t="s">
        <v>177</v>
      </c>
      <c r="L808" s="6" t="str">
        <f t="shared" si="125"/>
        <v>Bum</v>
      </c>
      <c r="M808" s="13"/>
      <c r="N808" s="7"/>
      <c r="O808" s="13" t="s">
        <v>2204</v>
      </c>
      <c r="P808" s="115"/>
      <c r="Q808" s="8"/>
      <c r="R808" s="2">
        <v>1</v>
      </c>
      <c r="S808" s="9">
        <v>30000</v>
      </c>
      <c r="T808" s="10">
        <f t="shared" si="118"/>
        <v>15000</v>
      </c>
      <c r="U808" s="9">
        <v>900</v>
      </c>
      <c r="V808" s="10">
        <f t="shared" si="119"/>
        <v>14100</v>
      </c>
      <c r="W808" s="4" t="s">
        <v>123</v>
      </c>
      <c r="X808" s="2" t="s">
        <v>29</v>
      </c>
      <c r="Y808" s="11">
        <v>4</v>
      </c>
      <c r="Z808" s="12">
        <f t="shared" si="126"/>
        <v>27</v>
      </c>
      <c r="AA808" s="4" t="s">
        <v>117</v>
      </c>
      <c r="AC808" s="176">
        <f t="shared" si="122"/>
        <v>0.81818181818181823</v>
      </c>
      <c r="AD808"/>
    </row>
    <row r="809" spans="2:30">
      <c r="B809" s="183">
        <f t="shared" si="127"/>
        <v>23</v>
      </c>
      <c r="C809" s="107" t="str">
        <f t="shared" si="128"/>
        <v>ATK</v>
      </c>
      <c r="D809" s="2" t="s">
        <v>1717</v>
      </c>
      <c r="E809" s="3">
        <v>43987</v>
      </c>
      <c r="F809" s="3">
        <v>43987</v>
      </c>
      <c r="G809" s="108">
        <f t="shared" si="129"/>
        <v>6</v>
      </c>
      <c r="H809" s="108" t="str">
        <f t="shared" si="130"/>
        <v>완료</v>
      </c>
      <c r="I809" s="112" t="s">
        <v>218</v>
      </c>
      <c r="J809" s="4" t="s">
        <v>265</v>
      </c>
      <c r="K809" s="5" t="s">
        <v>266</v>
      </c>
      <c r="L809" s="6" t="str">
        <f t="shared" si="125"/>
        <v>3T4</v>
      </c>
      <c r="M809" s="13" t="s">
        <v>226</v>
      </c>
      <c r="N809" s="7" t="s">
        <v>3819</v>
      </c>
      <c r="O809" s="13" t="s">
        <v>2205</v>
      </c>
      <c r="P809" s="115" t="s">
        <v>2206</v>
      </c>
      <c r="Q809" s="8"/>
      <c r="R809" s="2">
        <v>1</v>
      </c>
      <c r="S809" s="9">
        <v>10000</v>
      </c>
      <c r="T809" s="10">
        <f t="shared" si="118"/>
        <v>5000</v>
      </c>
      <c r="U809" s="9">
        <v>1</v>
      </c>
      <c r="V809" s="10">
        <f t="shared" si="119"/>
        <v>4999</v>
      </c>
      <c r="W809" s="4" t="s">
        <v>122</v>
      </c>
      <c r="X809" s="2"/>
      <c r="Y809" s="11">
        <v>2</v>
      </c>
      <c r="Z809" s="12">
        <f t="shared" si="126"/>
        <v>0</v>
      </c>
      <c r="AA809" s="4" t="s">
        <v>27</v>
      </c>
      <c r="AC809" s="176">
        <f t="shared" si="122"/>
        <v>9.0909090909090909E-4</v>
      </c>
      <c r="AD809"/>
    </row>
    <row r="810" spans="2:30">
      <c r="B810" s="183">
        <f t="shared" si="127"/>
        <v>23</v>
      </c>
      <c r="C810" s="107" t="str">
        <f t="shared" si="128"/>
        <v>ATK</v>
      </c>
      <c r="D810" s="2" t="s">
        <v>737</v>
      </c>
      <c r="E810" s="3">
        <v>43987</v>
      </c>
      <c r="F810" s="3">
        <v>43987</v>
      </c>
      <c r="G810" s="108">
        <f t="shared" si="129"/>
        <v>6</v>
      </c>
      <c r="H810" s="108" t="str">
        <f t="shared" si="130"/>
        <v>완료</v>
      </c>
      <c r="I810" s="112" t="s">
        <v>218</v>
      </c>
      <c r="J810" s="4" t="s">
        <v>139</v>
      </c>
      <c r="K810" s="5" t="s">
        <v>177</v>
      </c>
      <c r="L810" s="6" t="str">
        <f t="shared" si="125"/>
        <v>Bum</v>
      </c>
      <c r="M810" s="13" t="s">
        <v>2125</v>
      </c>
      <c r="N810" s="7" t="s">
        <v>3807</v>
      </c>
      <c r="O810" s="13" t="s">
        <v>1445</v>
      </c>
      <c r="P810" s="115" t="s">
        <v>2126</v>
      </c>
      <c r="Q810" s="8"/>
      <c r="R810" s="2">
        <v>1</v>
      </c>
      <c r="S810" s="9">
        <v>15000</v>
      </c>
      <c r="T810" s="10">
        <f t="shared" ref="T810" si="135">(S810*50)/100*R810</f>
        <v>7500</v>
      </c>
      <c r="U810" s="9">
        <v>4</v>
      </c>
      <c r="V810" s="10">
        <f t="shared" ref="V810" si="136">T810-U810</f>
        <v>7496</v>
      </c>
      <c r="W810" s="4" t="s">
        <v>122</v>
      </c>
      <c r="X810" s="2"/>
      <c r="Y810" s="11">
        <v>4</v>
      </c>
      <c r="Z810" s="12">
        <f t="shared" si="126"/>
        <v>0</v>
      </c>
      <c r="AA810" s="4" t="s">
        <v>120</v>
      </c>
      <c r="AC810" s="176">
        <f t="shared" si="122"/>
        <v>3.6363636363636364E-3</v>
      </c>
      <c r="AD810"/>
    </row>
    <row r="811" spans="2:30">
      <c r="B811" s="183">
        <f t="shared" si="127"/>
        <v>26</v>
      </c>
      <c r="C811" s="107" t="str">
        <f t="shared" si="128"/>
        <v>ATK</v>
      </c>
      <c r="D811" s="2" t="s">
        <v>2208</v>
      </c>
      <c r="E811" s="3">
        <v>43987</v>
      </c>
      <c r="F811" s="3">
        <v>44005</v>
      </c>
      <c r="G811" s="108">
        <f t="shared" si="129"/>
        <v>6</v>
      </c>
      <c r="H811" s="108" t="str">
        <f t="shared" si="130"/>
        <v>완료</v>
      </c>
      <c r="I811" s="112" t="s">
        <v>218</v>
      </c>
      <c r="J811" s="4" t="s">
        <v>121</v>
      </c>
      <c r="K811" s="5" t="s">
        <v>136</v>
      </c>
      <c r="L811" s="6" t="str">
        <f t="shared" si="125"/>
        <v>5T1</v>
      </c>
      <c r="M811" s="13" t="s">
        <v>2209</v>
      </c>
      <c r="N811" s="7" t="s">
        <v>3820</v>
      </c>
      <c r="O811" s="13" t="s">
        <v>2210</v>
      </c>
      <c r="P811" s="115" t="s">
        <v>2446</v>
      </c>
      <c r="Q811" s="8"/>
      <c r="R811" s="2">
        <v>1</v>
      </c>
      <c r="S811" s="9">
        <v>1000</v>
      </c>
      <c r="T811" s="10">
        <f t="shared" si="118"/>
        <v>500</v>
      </c>
      <c r="U811" s="9">
        <v>5</v>
      </c>
      <c r="V811" s="10">
        <f t="shared" si="119"/>
        <v>495</v>
      </c>
      <c r="W811" s="4" t="s">
        <v>122</v>
      </c>
      <c r="X811" s="2"/>
      <c r="Y811" s="11">
        <v>6</v>
      </c>
      <c r="Z811" s="12">
        <f t="shared" si="126"/>
        <v>18</v>
      </c>
      <c r="AA811" s="4" t="s">
        <v>212</v>
      </c>
      <c r="AC811" s="176">
        <f t="shared" si="122"/>
        <v>4.5454545454545452E-3</v>
      </c>
      <c r="AD811"/>
    </row>
    <row r="812" spans="2:30">
      <c r="B812" s="183">
        <f t="shared" si="127"/>
        <v>23</v>
      </c>
      <c r="C812" s="107" t="str">
        <f t="shared" si="128"/>
        <v>ATK</v>
      </c>
      <c r="D812" s="2" t="s">
        <v>1215</v>
      </c>
      <c r="E812" s="3">
        <v>43984</v>
      </c>
      <c r="F812" s="3">
        <v>43987</v>
      </c>
      <c r="G812" s="108">
        <f t="shared" si="129"/>
        <v>6</v>
      </c>
      <c r="H812" s="108" t="str">
        <f t="shared" si="130"/>
        <v>완료</v>
      </c>
      <c r="I812" s="112" t="s">
        <v>218</v>
      </c>
      <c r="J812" s="4" t="s">
        <v>499</v>
      </c>
      <c r="K812" s="5" t="s">
        <v>499</v>
      </c>
      <c r="L812" s="6" t="str">
        <f t="shared" si="125"/>
        <v>QA</v>
      </c>
      <c r="M812" s="13" t="s">
        <v>2212</v>
      </c>
      <c r="N812" s="7" t="s">
        <v>3821</v>
      </c>
      <c r="O812" s="13"/>
      <c r="P812" s="115" t="s">
        <v>2213</v>
      </c>
      <c r="Q812" s="8"/>
      <c r="R812" s="2">
        <v>1</v>
      </c>
      <c r="S812" s="9">
        <v>2400</v>
      </c>
      <c r="T812" s="10">
        <f t="shared" si="118"/>
        <v>1200</v>
      </c>
      <c r="U812" s="9">
        <v>1</v>
      </c>
      <c r="V812" s="10">
        <f t="shared" si="119"/>
        <v>1199</v>
      </c>
      <c r="W812" s="4" t="s">
        <v>122</v>
      </c>
      <c r="X812" s="2"/>
      <c r="Y812" s="11">
        <v>4</v>
      </c>
      <c r="Z812" s="12">
        <f t="shared" si="126"/>
        <v>3</v>
      </c>
      <c r="AA812" s="4" t="s">
        <v>120</v>
      </c>
      <c r="AC812" s="176">
        <f t="shared" si="122"/>
        <v>9.0909090909090909E-4</v>
      </c>
      <c r="AD812"/>
    </row>
    <row r="813" spans="2:30">
      <c r="B813" s="183">
        <f t="shared" si="127"/>
        <v>23</v>
      </c>
      <c r="C813" s="107" t="str">
        <f t="shared" si="128"/>
        <v>ATK</v>
      </c>
      <c r="D813" s="2" t="s">
        <v>221</v>
      </c>
      <c r="E813" s="3">
        <v>43987</v>
      </c>
      <c r="F813" s="3">
        <v>43987</v>
      </c>
      <c r="G813" s="108">
        <f t="shared" si="129"/>
        <v>6</v>
      </c>
      <c r="H813" s="108" t="str">
        <f t="shared" si="130"/>
        <v>완료</v>
      </c>
      <c r="I813" s="112" t="s">
        <v>218</v>
      </c>
      <c r="J813" s="4" t="s">
        <v>547</v>
      </c>
      <c r="K813" s="5" t="s">
        <v>751</v>
      </c>
      <c r="L813" s="6" t="str">
        <f t="shared" si="125"/>
        <v>Bum</v>
      </c>
      <c r="M813" s="13" t="s">
        <v>226</v>
      </c>
      <c r="N813" s="7" t="s">
        <v>3822</v>
      </c>
      <c r="O813" s="13" t="s">
        <v>2214</v>
      </c>
      <c r="P813" s="115" t="s">
        <v>2215</v>
      </c>
      <c r="Q813" s="8"/>
      <c r="R813" s="2">
        <v>1</v>
      </c>
      <c r="S813" s="9">
        <v>1000</v>
      </c>
      <c r="T813" s="10">
        <f t="shared" si="118"/>
        <v>500</v>
      </c>
      <c r="U813" s="9">
        <v>10</v>
      </c>
      <c r="V813" s="10">
        <f t="shared" si="119"/>
        <v>490</v>
      </c>
      <c r="W813" s="4" t="s">
        <v>122</v>
      </c>
      <c r="X813" s="2"/>
      <c r="Y813" s="11">
        <v>4</v>
      </c>
      <c r="Z813" s="12">
        <f t="shared" si="126"/>
        <v>0</v>
      </c>
      <c r="AA813" s="4" t="s">
        <v>27</v>
      </c>
      <c r="AC813" s="176">
        <f t="shared" si="122"/>
        <v>9.0909090909090905E-3</v>
      </c>
      <c r="AD813"/>
    </row>
    <row r="814" spans="2:30">
      <c r="B814" s="183">
        <f t="shared" si="127"/>
        <v>24</v>
      </c>
      <c r="C814" s="107" t="str">
        <f t="shared" si="128"/>
        <v>ATK</v>
      </c>
      <c r="D814" s="2" t="s">
        <v>2216</v>
      </c>
      <c r="E814" s="3">
        <v>43990</v>
      </c>
      <c r="F814" s="3">
        <v>43990</v>
      </c>
      <c r="G814" s="108">
        <f t="shared" si="129"/>
        <v>6</v>
      </c>
      <c r="H814" s="108" t="str">
        <f t="shared" si="130"/>
        <v>완료</v>
      </c>
      <c r="I814" s="112" t="s">
        <v>218</v>
      </c>
      <c r="J814" s="4" t="s">
        <v>205</v>
      </c>
      <c r="K814" s="5" t="s">
        <v>2217</v>
      </c>
      <c r="L814" s="6" t="str">
        <f t="shared" si="125"/>
        <v>TES</v>
      </c>
      <c r="M814" s="13" t="s">
        <v>226</v>
      </c>
      <c r="N814" s="7" t="s">
        <v>3823</v>
      </c>
      <c r="O814" s="13" t="s">
        <v>2218</v>
      </c>
      <c r="P814" s="115" t="s">
        <v>2219</v>
      </c>
      <c r="Q814" s="8"/>
      <c r="R814" s="2">
        <v>1</v>
      </c>
      <c r="S814" s="9">
        <v>5000</v>
      </c>
      <c r="T814" s="10">
        <f t="shared" si="118"/>
        <v>2500</v>
      </c>
      <c r="U814" s="9">
        <v>5</v>
      </c>
      <c r="V814" s="10">
        <f t="shared" si="119"/>
        <v>2495</v>
      </c>
      <c r="W814" s="4" t="s">
        <v>122</v>
      </c>
      <c r="X814" s="2"/>
      <c r="Y814" s="11">
        <v>2</v>
      </c>
      <c r="Z814" s="12">
        <f t="shared" si="126"/>
        <v>0</v>
      </c>
      <c r="AA814" s="4" t="s">
        <v>27</v>
      </c>
      <c r="AC814" s="176">
        <f t="shared" si="122"/>
        <v>4.5454545454545452E-3</v>
      </c>
      <c r="AD814" s="199">
        <f t="shared" ref="AD814:AD815" si="137">V814/1100</f>
        <v>2.2681818181818181</v>
      </c>
    </row>
    <row r="815" spans="2:30">
      <c r="B815" s="183">
        <f t="shared" si="127"/>
        <v>24</v>
      </c>
      <c r="C815" s="107" t="str">
        <f t="shared" si="128"/>
        <v>ATK</v>
      </c>
      <c r="D815" s="2" t="s">
        <v>1073</v>
      </c>
      <c r="E815" s="3">
        <v>43987</v>
      </c>
      <c r="F815" s="3">
        <v>43990</v>
      </c>
      <c r="G815" s="108">
        <f t="shared" si="129"/>
        <v>6</v>
      </c>
      <c r="H815" s="108" t="str">
        <f t="shared" si="130"/>
        <v>완료</v>
      </c>
      <c r="I815" s="112" t="s">
        <v>218</v>
      </c>
      <c r="J815" s="4" t="s">
        <v>139</v>
      </c>
      <c r="K815" s="5" t="s">
        <v>177</v>
      </c>
      <c r="L815" s="6" t="str">
        <f t="shared" si="125"/>
        <v>Bum</v>
      </c>
      <c r="M815" s="13" t="s">
        <v>2062</v>
      </c>
      <c r="N815" s="7"/>
      <c r="O815" s="13" t="s">
        <v>2063</v>
      </c>
      <c r="P815" s="115" t="s">
        <v>2064</v>
      </c>
      <c r="Q815" s="8"/>
      <c r="R815" s="2">
        <v>1</v>
      </c>
      <c r="S815" s="9">
        <v>25000</v>
      </c>
      <c r="T815" s="10">
        <f t="shared" ref="T815" si="138">(S815*50)/100*R815</f>
        <v>12500</v>
      </c>
      <c r="U815" s="9">
        <v>5</v>
      </c>
      <c r="V815" s="10">
        <f t="shared" ref="V815" si="139">T815-U815</f>
        <v>12495</v>
      </c>
      <c r="W815" s="4" t="s">
        <v>122</v>
      </c>
      <c r="X815" s="2"/>
      <c r="Y815" s="11">
        <v>6</v>
      </c>
      <c r="Z815" s="12">
        <f t="shared" si="126"/>
        <v>3</v>
      </c>
      <c r="AA815" s="4" t="s">
        <v>117</v>
      </c>
      <c r="AC815" s="176">
        <f t="shared" si="122"/>
        <v>4.5454545454545452E-3</v>
      </c>
      <c r="AD815" s="199">
        <f t="shared" si="137"/>
        <v>11.359090909090909</v>
      </c>
    </row>
    <row r="816" spans="2:30">
      <c r="B816" s="183">
        <f t="shared" si="127"/>
        <v>24</v>
      </c>
      <c r="C816" s="107" t="str">
        <f t="shared" si="128"/>
        <v>ATK</v>
      </c>
      <c r="D816" s="2" t="s">
        <v>2220</v>
      </c>
      <c r="E816" s="3">
        <v>43990</v>
      </c>
      <c r="F816" s="3">
        <v>43991</v>
      </c>
      <c r="G816" s="108">
        <f t="shared" si="129"/>
        <v>6</v>
      </c>
      <c r="H816" s="108" t="str">
        <f t="shared" si="130"/>
        <v>완료</v>
      </c>
      <c r="I816" s="112" t="s">
        <v>218</v>
      </c>
      <c r="J816" s="4" t="s">
        <v>115</v>
      </c>
      <c r="K816" s="5" t="s">
        <v>116</v>
      </c>
      <c r="L816" s="6" t="str">
        <f t="shared" si="125"/>
        <v>EE2</v>
      </c>
      <c r="M816" s="13" t="s">
        <v>2221</v>
      </c>
      <c r="N816" s="7" t="s">
        <v>3824</v>
      </c>
      <c r="O816" s="13" t="s">
        <v>2222</v>
      </c>
      <c r="P816" s="115" t="s">
        <v>2247</v>
      </c>
      <c r="Q816" s="8"/>
      <c r="R816" s="2">
        <v>1</v>
      </c>
      <c r="S816" s="9">
        <v>4000</v>
      </c>
      <c r="T816" s="10">
        <f t="shared" ref="T816:T873" si="140">(S816*50)/100*R816</f>
        <v>2000</v>
      </c>
      <c r="U816" s="9">
        <v>50</v>
      </c>
      <c r="V816" s="10">
        <f t="shared" ref="V816:V873" si="141">T816-U816</f>
        <v>1950</v>
      </c>
      <c r="W816" s="4" t="s">
        <v>122</v>
      </c>
      <c r="X816" s="2"/>
      <c r="Y816" s="11">
        <v>10</v>
      </c>
      <c r="Z816" s="12">
        <f t="shared" si="126"/>
        <v>1</v>
      </c>
      <c r="AA816" s="4" t="s">
        <v>212</v>
      </c>
      <c r="AC816" s="176">
        <f t="shared" si="122"/>
        <v>4.5454545454545456E-2</v>
      </c>
      <c r="AD816"/>
    </row>
    <row r="817" spans="2:30">
      <c r="B817" s="183">
        <f t="shared" si="127"/>
        <v>27</v>
      </c>
      <c r="C817" s="107" t="str">
        <f t="shared" si="128"/>
        <v>ATK</v>
      </c>
      <c r="D817" s="2" t="s">
        <v>504</v>
      </c>
      <c r="E817" s="3">
        <v>43991</v>
      </c>
      <c r="F817" s="3">
        <v>44011</v>
      </c>
      <c r="G817" s="108">
        <f t="shared" si="129"/>
        <v>6</v>
      </c>
      <c r="H817" s="108" t="str">
        <f t="shared" si="130"/>
        <v>완료</v>
      </c>
      <c r="I817" s="112" t="s">
        <v>514</v>
      </c>
      <c r="J817" s="4" t="s">
        <v>281</v>
      </c>
      <c r="K817" s="5" t="s">
        <v>332</v>
      </c>
      <c r="L817" s="6" t="str">
        <f t="shared" si="125"/>
        <v>EE2</v>
      </c>
      <c r="M817" s="13" t="s">
        <v>256</v>
      </c>
      <c r="N817" s="7" t="s">
        <v>3529</v>
      </c>
      <c r="O817" s="13" t="s">
        <v>524</v>
      </c>
      <c r="P817" s="115" t="s">
        <v>2223</v>
      </c>
      <c r="Q817" s="8" t="s">
        <v>2226</v>
      </c>
      <c r="R817" s="2">
        <v>1</v>
      </c>
      <c r="S817" s="9">
        <v>1900</v>
      </c>
      <c r="T817" s="10">
        <f t="shared" si="140"/>
        <v>950</v>
      </c>
      <c r="U817" s="9">
        <v>580</v>
      </c>
      <c r="V817" s="10">
        <f t="shared" si="141"/>
        <v>370</v>
      </c>
      <c r="W817" s="4" t="s">
        <v>326</v>
      </c>
      <c r="X817" s="2" t="s">
        <v>2211</v>
      </c>
      <c r="Y817" s="11">
        <v>1</v>
      </c>
      <c r="Z817" s="12">
        <f t="shared" si="126"/>
        <v>20</v>
      </c>
      <c r="AA817" s="4" t="s">
        <v>30</v>
      </c>
      <c r="AB817" s="201" t="s">
        <v>5177</v>
      </c>
      <c r="AC817" s="176">
        <f t="shared" si="122"/>
        <v>0.52727272727272723</v>
      </c>
      <c r="AD817"/>
    </row>
    <row r="818" spans="2:30">
      <c r="B818" s="183">
        <f t="shared" si="127"/>
        <v>27</v>
      </c>
      <c r="C818" s="107" t="str">
        <f t="shared" si="128"/>
        <v>ATK</v>
      </c>
      <c r="D818" s="2" t="s">
        <v>504</v>
      </c>
      <c r="E818" s="3">
        <v>43991</v>
      </c>
      <c r="F818" s="3">
        <v>44011</v>
      </c>
      <c r="G818" s="108">
        <f t="shared" si="129"/>
        <v>6</v>
      </c>
      <c r="H818" s="108" t="str">
        <f t="shared" si="130"/>
        <v>완료</v>
      </c>
      <c r="I818" s="112" t="s">
        <v>514</v>
      </c>
      <c r="J818" s="4" t="s">
        <v>281</v>
      </c>
      <c r="K818" s="5" t="s">
        <v>332</v>
      </c>
      <c r="L818" s="6" t="str">
        <f t="shared" si="125"/>
        <v>EE2</v>
      </c>
      <c r="M818" s="13" t="s">
        <v>256</v>
      </c>
      <c r="N818" s="7" t="s">
        <v>3529</v>
      </c>
      <c r="O818" s="13" t="s">
        <v>524</v>
      </c>
      <c r="P818" s="115" t="s">
        <v>2224</v>
      </c>
      <c r="Q818" s="8" t="s">
        <v>2225</v>
      </c>
      <c r="R818" s="2">
        <v>1</v>
      </c>
      <c r="S818" s="9">
        <v>1900</v>
      </c>
      <c r="T818" s="10">
        <f t="shared" si="140"/>
        <v>950</v>
      </c>
      <c r="U818" s="9">
        <v>580</v>
      </c>
      <c r="V818" s="10">
        <f t="shared" si="141"/>
        <v>370</v>
      </c>
      <c r="W818" s="4" t="s">
        <v>326</v>
      </c>
      <c r="X818" s="2" t="s">
        <v>2211</v>
      </c>
      <c r="Y818" s="11">
        <v>1</v>
      </c>
      <c r="Z818" s="12">
        <f t="shared" si="126"/>
        <v>20</v>
      </c>
      <c r="AA818" s="4" t="s">
        <v>30</v>
      </c>
      <c r="AB818" s="201" t="s">
        <v>5178</v>
      </c>
      <c r="AC818" s="176">
        <f t="shared" si="122"/>
        <v>0.52727272727272723</v>
      </c>
      <c r="AD818"/>
    </row>
    <row r="819" spans="2:30">
      <c r="B819" s="183">
        <f t="shared" si="127"/>
        <v>24</v>
      </c>
      <c r="C819" s="107" t="str">
        <f t="shared" si="128"/>
        <v>ATK</v>
      </c>
      <c r="D819" s="2" t="s">
        <v>2227</v>
      </c>
      <c r="E819" s="3">
        <v>43991</v>
      </c>
      <c r="F819" s="3">
        <v>43991</v>
      </c>
      <c r="G819" s="108">
        <f t="shared" si="129"/>
        <v>6</v>
      </c>
      <c r="H819" s="108" t="str">
        <f t="shared" si="130"/>
        <v>완료</v>
      </c>
      <c r="I819" s="112" t="s">
        <v>2228</v>
      </c>
      <c r="J819" s="4" t="s">
        <v>132</v>
      </c>
      <c r="K819" s="5" t="s">
        <v>133</v>
      </c>
      <c r="L819" s="6" t="str">
        <f t="shared" si="125"/>
        <v>3T3</v>
      </c>
      <c r="M819" s="13" t="s">
        <v>2229</v>
      </c>
      <c r="N819" s="7" t="s">
        <v>3640</v>
      </c>
      <c r="O819" s="13" t="s">
        <v>230</v>
      </c>
      <c r="P819" s="115" t="s">
        <v>347</v>
      </c>
      <c r="Q819" s="8" t="s">
        <v>2231</v>
      </c>
      <c r="R819" s="2">
        <v>1</v>
      </c>
      <c r="S819" s="9">
        <v>560</v>
      </c>
      <c r="T819" s="10">
        <f t="shared" si="140"/>
        <v>280</v>
      </c>
      <c r="U819" s="9">
        <v>50</v>
      </c>
      <c r="V819" s="10">
        <f t="shared" si="141"/>
        <v>230</v>
      </c>
      <c r="W819" s="4" t="s">
        <v>122</v>
      </c>
      <c r="X819" s="2"/>
      <c r="Y819" s="11">
        <v>1</v>
      </c>
      <c r="Z819" s="12">
        <f t="shared" si="126"/>
        <v>0</v>
      </c>
      <c r="AA819" s="4" t="s">
        <v>2230</v>
      </c>
      <c r="AC819" s="176">
        <f t="shared" si="122"/>
        <v>4.5454545454545456E-2</v>
      </c>
      <c r="AD819" s="199">
        <f t="shared" ref="AD819:AD821" si="142">V819/1100</f>
        <v>0.20909090909090908</v>
      </c>
    </row>
    <row r="820" spans="2:30">
      <c r="B820" s="183">
        <f t="shared" si="127"/>
        <v>24</v>
      </c>
      <c r="C820" s="107" t="str">
        <f t="shared" si="128"/>
        <v>ATK</v>
      </c>
      <c r="D820" s="2" t="s">
        <v>2235</v>
      </c>
      <c r="E820" s="3">
        <v>43991</v>
      </c>
      <c r="F820" s="3">
        <v>43991</v>
      </c>
      <c r="G820" s="108">
        <f t="shared" si="129"/>
        <v>6</v>
      </c>
      <c r="H820" s="108" t="str">
        <f t="shared" si="130"/>
        <v>완료</v>
      </c>
      <c r="I820" s="112" t="s">
        <v>218</v>
      </c>
      <c r="J820" s="4" t="s">
        <v>115</v>
      </c>
      <c r="K820" s="5" t="s">
        <v>138</v>
      </c>
      <c r="L820" s="6" t="str">
        <f t="shared" si="125"/>
        <v>EE1</v>
      </c>
      <c r="M820" s="13" t="s">
        <v>1894</v>
      </c>
      <c r="N820" s="7"/>
      <c r="O820" s="13" t="s">
        <v>2236</v>
      </c>
      <c r="P820" s="115" t="s">
        <v>1522</v>
      </c>
      <c r="Q820" s="8"/>
      <c r="R820" s="2">
        <v>2</v>
      </c>
      <c r="S820" s="9">
        <v>2000</v>
      </c>
      <c r="T820" s="10">
        <f t="shared" si="140"/>
        <v>2000</v>
      </c>
      <c r="U820" s="9"/>
      <c r="V820" s="10">
        <f t="shared" si="141"/>
        <v>2000</v>
      </c>
      <c r="W820" s="4" t="s">
        <v>122</v>
      </c>
      <c r="X820" s="2"/>
      <c r="Y820" s="11">
        <v>7</v>
      </c>
      <c r="Z820" s="12">
        <f t="shared" si="126"/>
        <v>0</v>
      </c>
      <c r="AA820" s="4" t="s">
        <v>259</v>
      </c>
      <c r="AC820" s="176">
        <f t="shared" si="122"/>
        <v>0</v>
      </c>
      <c r="AD820" s="199">
        <f t="shared" si="142"/>
        <v>1.8181818181818181</v>
      </c>
    </row>
    <row r="821" spans="2:30">
      <c r="B821" s="183">
        <f t="shared" si="127"/>
        <v>24</v>
      </c>
      <c r="C821" s="107" t="str">
        <f t="shared" si="128"/>
        <v>ATK</v>
      </c>
      <c r="D821" s="2" t="s">
        <v>704</v>
      </c>
      <c r="E821" s="3">
        <v>43991</v>
      </c>
      <c r="F821" s="3">
        <v>43991</v>
      </c>
      <c r="G821" s="108">
        <f t="shared" si="129"/>
        <v>6</v>
      </c>
      <c r="H821" s="108" t="str">
        <f t="shared" si="130"/>
        <v>완료</v>
      </c>
      <c r="I821" s="112" t="s">
        <v>218</v>
      </c>
      <c r="J821" s="4" t="s">
        <v>127</v>
      </c>
      <c r="K821" s="5" t="s">
        <v>131</v>
      </c>
      <c r="L821" s="6" t="str">
        <f t="shared" si="125"/>
        <v>1T4</v>
      </c>
      <c r="M821" s="13" t="s">
        <v>1144</v>
      </c>
      <c r="N821" s="7" t="s">
        <v>3642</v>
      </c>
      <c r="O821" s="13" t="s">
        <v>2237</v>
      </c>
      <c r="P821" s="115" t="s">
        <v>2238</v>
      </c>
      <c r="Q821" s="8" t="s">
        <v>2239</v>
      </c>
      <c r="R821" s="2">
        <v>1</v>
      </c>
      <c r="S821" s="9">
        <v>300</v>
      </c>
      <c r="T821" s="10">
        <f t="shared" si="140"/>
        <v>150</v>
      </c>
      <c r="U821" s="9">
        <v>0</v>
      </c>
      <c r="V821" s="10">
        <f t="shared" si="141"/>
        <v>150</v>
      </c>
      <c r="W821" s="4" t="s">
        <v>122</v>
      </c>
      <c r="X821" s="2"/>
      <c r="Y821" s="11">
        <v>3</v>
      </c>
      <c r="Z821" s="12">
        <f t="shared" si="126"/>
        <v>0</v>
      </c>
      <c r="AA821" s="4" t="s">
        <v>120</v>
      </c>
      <c r="AC821" s="176">
        <f t="shared" si="122"/>
        <v>0</v>
      </c>
      <c r="AD821" s="199">
        <f t="shared" si="142"/>
        <v>0.13636363636363635</v>
      </c>
    </row>
    <row r="822" spans="2:30">
      <c r="B822" s="183">
        <f t="shared" si="127"/>
        <v>24</v>
      </c>
      <c r="C822" s="107" t="str">
        <f t="shared" si="128"/>
        <v>ATK</v>
      </c>
      <c r="D822" s="2" t="s">
        <v>2242</v>
      </c>
      <c r="E822" s="3">
        <v>43985</v>
      </c>
      <c r="F822" s="3">
        <v>43991</v>
      </c>
      <c r="G822" s="108">
        <f t="shared" si="129"/>
        <v>6</v>
      </c>
      <c r="H822" s="108" t="str">
        <f t="shared" si="130"/>
        <v>완료</v>
      </c>
      <c r="I822" s="112" t="s">
        <v>2146</v>
      </c>
      <c r="J822" s="4" t="s">
        <v>2240</v>
      </c>
      <c r="K822" s="5" t="s">
        <v>621</v>
      </c>
      <c r="L822" s="6" t="str">
        <f t="shared" si="125"/>
        <v>2T3</v>
      </c>
      <c r="M822" s="13" t="s">
        <v>2241</v>
      </c>
      <c r="N822" s="7" t="s">
        <v>3598</v>
      </c>
      <c r="O822" s="7" t="s">
        <v>2241</v>
      </c>
      <c r="P822" s="115" t="s">
        <v>2243</v>
      </c>
      <c r="Q822" s="8"/>
      <c r="R822" s="2">
        <v>1</v>
      </c>
      <c r="S822" s="9">
        <v>1600</v>
      </c>
      <c r="T822" s="10">
        <f t="shared" si="140"/>
        <v>800</v>
      </c>
      <c r="U822" s="9">
        <v>0</v>
      </c>
      <c r="V822" s="10">
        <f t="shared" si="141"/>
        <v>800</v>
      </c>
      <c r="W822" s="4" t="s">
        <v>2244</v>
      </c>
      <c r="X822" s="2"/>
      <c r="Y822" s="11">
        <v>2</v>
      </c>
      <c r="Z822" s="12">
        <f t="shared" si="126"/>
        <v>6</v>
      </c>
      <c r="AA822" s="4" t="s">
        <v>2245</v>
      </c>
      <c r="AC822" s="176">
        <f t="shared" ref="AC822:AC882" si="143">U822/1100</f>
        <v>0</v>
      </c>
      <c r="AD822"/>
    </row>
    <row r="823" spans="2:30">
      <c r="B823" s="183">
        <f t="shared" si="127"/>
        <v>24</v>
      </c>
      <c r="C823" s="107" t="str">
        <f t="shared" si="128"/>
        <v>ATK</v>
      </c>
      <c r="D823" s="2" t="s">
        <v>463</v>
      </c>
      <c r="E823" s="3">
        <v>43992</v>
      </c>
      <c r="F823" s="3">
        <v>43992</v>
      </c>
      <c r="G823" s="108">
        <f t="shared" si="129"/>
        <v>6</v>
      </c>
      <c r="H823" s="108" t="str">
        <f t="shared" si="130"/>
        <v>완료</v>
      </c>
      <c r="I823" s="112" t="s">
        <v>218</v>
      </c>
      <c r="J823" s="4" t="s">
        <v>121</v>
      </c>
      <c r="K823" s="5" t="s">
        <v>136</v>
      </c>
      <c r="L823" s="6" t="str">
        <f t="shared" si="125"/>
        <v>5T1</v>
      </c>
      <c r="M823" s="13"/>
      <c r="N823" s="7" t="s">
        <v>3513</v>
      </c>
      <c r="O823" s="13" t="s">
        <v>2248</v>
      </c>
      <c r="P823" s="115"/>
      <c r="Q823" s="8"/>
      <c r="R823" s="2">
        <v>3</v>
      </c>
      <c r="S823" s="9">
        <v>5000</v>
      </c>
      <c r="T823" s="10">
        <f t="shared" si="140"/>
        <v>7500</v>
      </c>
      <c r="U823" s="9">
        <v>30</v>
      </c>
      <c r="V823" s="10">
        <f t="shared" si="141"/>
        <v>7470</v>
      </c>
      <c r="W823" s="4" t="s">
        <v>122</v>
      </c>
      <c r="X823" s="2"/>
      <c r="Y823" s="11">
        <v>1</v>
      </c>
      <c r="Z823" s="12">
        <f t="shared" si="126"/>
        <v>0</v>
      </c>
      <c r="AA823" s="4" t="s">
        <v>117</v>
      </c>
      <c r="AC823" s="176">
        <f t="shared" si="143"/>
        <v>2.7272727272727271E-2</v>
      </c>
      <c r="AD823"/>
    </row>
    <row r="824" spans="2:30" ht="24">
      <c r="B824" s="183">
        <f t="shared" si="127"/>
        <v>24</v>
      </c>
      <c r="C824" s="107" t="str">
        <f t="shared" si="128"/>
        <v>ATK</v>
      </c>
      <c r="D824" s="2" t="s">
        <v>2249</v>
      </c>
      <c r="E824" s="3">
        <v>43987</v>
      </c>
      <c r="F824" s="3">
        <v>43992</v>
      </c>
      <c r="G824" s="108">
        <f t="shared" si="129"/>
        <v>6</v>
      </c>
      <c r="H824" s="108" t="str">
        <f t="shared" si="130"/>
        <v>완료</v>
      </c>
      <c r="I824" s="112" t="s">
        <v>218</v>
      </c>
      <c r="J824" s="4" t="s">
        <v>243</v>
      </c>
      <c r="K824" s="5" t="s">
        <v>243</v>
      </c>
      <c r="L824" s="6" t="str">
        <f t="shared" si="125"/>
        <v>K5</v>
      </c>
      <c r="M824" s="13" t="s">
        <v>2250</v>
      </c>
      <c r="N824" s="7" t="s">
        <v>3825</v>
      </c>
      <c r="O824" s="13" t="s">
        <v>2251</v>
      </c>
      <c r="P824" s="115" t="s">
        <v>2252</v>
      </c>
      <c r="Q824" s="8" t="s">
        <v>2253</v>
      </c>
      <c r="R824" s="2">
        <v>1</v>
      </c>
      <c r="S824" s="9">
        <v>4000</v>
      </c>
      <c r="T824" s="10">
        <f t="shared" si="140"/>
        <v>2000</v>
      </c>
      <c r="U824" s="9">
        <v>1</v>
      </c>
      <c r="V824" s="10">
        <f t="shared" si="141"/>
        <v>1999</v>
      </c>
      <c r="W824" s="4" t="s">
        <v>122</v>
      </c>
      <c r="X824" s="2"/>
      <c r="Y824" s="11">
        <v>20</v>
      </c>
      <c r="Z824" s="12">
        <f t="shared" si="126"/>
        <v>5</v>
      </c>
      <c r="AA824" s="4" t="s">
        <v>120</v>
      </c>
      <c r="AC824" s="176">
        <f t="shared" si="143"/>
        <v>9.0909090909090909E-4</v>
      </c>
      <c r="AD824"/>
    </row>
    <row r="825" spans="2:30">
      <c r="B825" s="183">
        <f t="shared" si="127"/>
        <v>27</v>
      </c>
      <c r="C825" s="107" t="str">
        <f t="shared" si="128"/>
        <v>ATK</v>
      </c>
      <c r="D825" s="2" t="s">
        <v>2254</v>
      </c>
      <c r="E825" s="3">
        <v>43992</v>
      </c>
      <c r="F825" s="3">
        <v>44014</v>
      </c>
      <c r="G825" s="108">
        <f t="shared" si="129"/>
        <v>7</v>
      </c>
      <c r="H825" s="108" t="str">
        <f t="shared" si="130"/>
        <v>완료</v>
      </c>
      <c r="I825" s="112" t="s">
        <v>514</v>
      </c>
      <c r="J825" s="4" t="s">
        <v>118</v>
      </c>
      <c r="K825" s="5" t="s">
        <v>137</v>
      </c>
      <c r="L825" s="6" t="str">
        <f t="shared" si="125"/>
        <v>2T2</v>
      </c>
      <c r="M825" s="13" t="s">
        <v>1444</v>
      </c>
      <c r="N825" s="7" t="s">
        <v>3826</v>
      </c>
      <c r="O825" s="13" t="s">
        <v>2257</v>
      </c>
      <c r="P825" s="115" t="s">
        <v>2258</v>
      </c>
      <c r="Q825" s="8" t="s">
        <v>2259</v>
      </c>
      <c r="R825" s="2">
        <v>1</v>
      </c>
      <c r="S825" s="9">
        <v>26000</v>
      </c>
      <c r="T825" s="10">
        <f t="shared" si="140"/>
        <v>13000</v>
      </c>
      <c r="U825" s="9">
        <v>0</v>
      </c>
      <c r="V825" s="10">
        <f t="shared" si="141"/>
        <v>13000</v>
      </c>
      <c r="W825" s="4" t="s">
        <v>2260</v>
      </c>
      <c r="X825" s="2" t="s">
        <v>29</v>
      </c>
      <c r="Y825" s="11">
        <v>1</v>
      </c>
      <c r="Z825" s="12">
        <f t="shared" si="126"/>
        <v>22</v>
      </c>
      <c r="AA825" s="4" t="s">
        <v>2256</v>
      </c>
      <c r="AC825" s="176">
        <f t="shared" si="143"/>
        <v>0</v>
      </c>
      <c r="AD825"/>
    </row>
    <row r="826" spans="2:30">
      <c r="B826" s="183">
        <f t="shared" si="127"/>
        <v>24</v>
      </c>
      <c r="C826" s="107" t="str">
        <f t="shared" si="128"/>
        <v>ATK</v>
      </c>
      <c r="D826" s="2" t="s">
        <v>2261</v>
      </c>
      <c r="E826" s="3">
        <v>43992</v>
      </c>
      <c r="F826" s="3">
        <v>43993</v>
      </c>
      <c r="G826" s="108">
        <f t="shared" si="129"/>
        <v>6</v>
      </c>
      <c r="H826" s="108" t="str">
        <f t="shared" si="130"/>
        <v>Other</v>
      </c>
      <c r="I826" s="112" t="s">
        <v>251</v>
      </c>
      <c r="J826" s="4" t="s">
        <v>132</v>
      </c>
      <c r="K826" s="5" t="s">
        <v>119</v>
      </c>
      <c r="L826" s="6" t="str">
        <f t="shared" si="125"/>
        <v>2T3</v>
      </c>
      <c r="M826" s="13" t="s">
        <v>126</v>
      </c>
      <c r="N826" s="7" t="s">
        <v>140</v>
      </c>
      <c r="O826" s="13" t="s">
        <v>2262</v>
      </c>
      <c r="P826" s="115" t="s">
        <v>2263</v>
      </c>
      <c r="Q826" s="8"/>
      <c r="R826" s="2">
        <v>1</v>
      </c>
      <c r="S826" s="9">
        <v>0</v>
      </c>
      <c r="T826" s="10">
        <f t="shared" si="140"/>
        <v>0</v>
      </c>
      <c r="U826" s="9">
        <v>0</v>
      </c>
      <c r="V826" s="10">
        <f t="shared" si="141"/>
        <v>0</v>
      </c>
      <c r="W826" s="4" t="s">
        <v>122</v>
      </c>
      <c r="X826" s="2"/>
      <c r="Y826" s="11">
        <v>2</v>
      </c>
      <c r="Z826" s="12">
        <f t="shared" si="126"/>
        <v>1</v>
      </c>
      <c r="AA826" s="4" t="s">
        <v>2264</v>
      </c>
      <c r="AC826" s="176">
        <f t="shared" si="143"/>
        <v>0</v>
      </c>
      <c r="AD826"/>
    </row>
    <row r="827" spans="2:30">
      <c r="B827" s="183">
        <f t="shared" si="127"/>
        <v>24</v>
      </c>
      <c r="C827" s="107" t="str">
        <f t="shared" si="128"/>
        <v>ATK</v>
      </c>
      <c r="D827" s="2" t="s">
        <v>2265</v>
      </c>
      <c r="E827" s="3">
        <v>43993</v>
      </c>
      <c r="F827" s="3">
        <v>43993</v>
      </c>
      <c r="G827" s="108">
        <f t="shared" si="129"/>
        <v>6</v>
      </c>
      <c r="H827" s="108" t="str">
        <f t="shared" si="130"/>
        <v>완료</v>
      </c>
      <c r="I827" s="112" t="s">
        <v>218</v>
      </c>
      <c r="J827" s="4" t="s">
        <v>481</v>
      </c>
      <c r="K827" s="5" t="s">
        <v>695</v>
      </c>
      <c r="L827" s="6" t="str">
        <f t="shared" si="125"/>
        <v>2T2</v>
      </c>
      <c r="M827" s="13" t="s">
        <v>256</v>
      </c>
      <c r="N827" s="7" t="s">
        <v>3594</v>
      </c>
      <c r="O827" s="13" t="s">
        <v>2266</v>
      </c>
      <c r="P827" s="115" t="s">
        <v>479</v>
      </c>
      <c r="Q827" s="8"/>
      <c r="R827" s="2">
        <v>1</v>
      </c>
      <c r="S827" s="9">
        <v>1600</v>
      </c>
      <c r="T827" s="10">
        <f t="shared" si="140"/>
        <v>800</v>
      </c>
      <c r="U827" s="9">
        <v>20</v>
      </c>
      <c r="V827" s="10">
        <f t="shared" si="141"/>
        <v>780</v>
      </c>
      <c r="W827" s="4" t="s">
        <v>122</v>
      </c>
      <c r="X827" s="2"/>
      <c r="Y827" s="11">
        <v>3</v>
      </c>
      <c r="Z827" s="12">
        <f t="shared" si="126"/>
        <v>0</v>
      </c>
      <c r="AA827" s="4" t="s">
        <v>2267</v>
      </c>
      <c r="AC827" s="176">
        <f t="shared" si="143"/>
        <v>1.8181818181818181E-2</v>
      </c>
      <c r="AD827"/>
    </row>
    <row r="828" spans="2:30">
      <c r="B828" s="183">
        <f t="shared" si="127"/>
        <v>24</v>
      </c>
      <c r="C828" s="107" t="str">
        <f t="shared" si="128"/>
        <v>ATK</v>
      </c>
      <c r="D828" s="2" t="s">
        <v>379</v>
      </c>
      <c r="E828" s="3">
        <v>43992</v>
      </c>
      <c r="F828" s="3">
        <v>43993</v>
      </c>
      <c r="G828" s="108">
        <f t="shared" si="129"/>
        <v>6</v>
      </c>
      <c r="H828" s="108" t="str">
        <f t="shared" si="130"/>
        <v>완료</v>
      </c>
      <c r="I828" s="112" t="s">
        <v>218</v>
      </c>
      <c r="J828" s="4" t="s">
        <v>132</v>
      </c>
      <c r="K828" s="5" t="s">
        <v>322</v>
      </c>
      <c r="L828" s="6" t="str">
        <f t="shared" si="125"/>
        <v>3T1</v>
      </c>
      <c r="M828" s="13" t="s">
        <v>1894</v>
      </c>
      <c r="N828" s="7" t="s">
        <v>3827</v>
      </c>
      <c r="O828" s="13" t="s">
        <v>2268</v>
      </c>
      <c r="P828" s="115" t="s">
        <v>2269</v>
      </c>
      <c r="Q828" s="8"/>
      <c r="R828" s="2">
        <v>1</v>
      </c>
      <c r="S828" s="9">
        <v>1000</v>
      </c>
      <c r="T828" s="10">
        <f t="shared" si="140"/>
        <v>500</v>
      </c>
      <c r="U828" s="9"/>
      <c r="V828" s="10">
        <f t="shared" si="141"/>
        <v>500</v>
      </c>
      <c r="W828" s="4" t="s">
        <v>122</v>
      </c>
      <c r="X828" s="2"/>
      <c r="Y828" s="11">
        <v>5</v>
      </c>
      <c r="Z828" s="12">
        <f t="shared" si="126"/>
        <v>1</v>
      </c>
      <c r="AA828" s="4" t="s">
        <v>212</v>
      </c>
      <c r="AC828" s="176">
        <f t="shared" si="143"/>
        <v>0</v>
      </c>
      <c r="AD828"/>
    </row>
    <row r="829" spans="2:30">
      <c r="B829" s="183">
        <f t="shared" si="127"/>
        <v>24</v>
      </c>
      <c r="C829" s="107" t="str">
        <f t="shared" si="128"/>
        <v>ATK</v>
      </c>
      <c r="D829" s="2" t="s">
        <v>752</v>
      </c>
      <c r="E829" s="3">
        <v>43994</v>
      </c>
      <c r="F829" s="3">
        <v>43994</v>
      </c>
      <c r="G829" s="108">
        <f t="shared" si="129"/>
        <v>6</v>
      </c>
      <c r="H829" s="108" t="str">
        <f t="shared" si="130"/>
        <v>완료</v>
      </c>
      <c r="I829" s="112" t="s">
        <v>264</v>
      </c>
      <c r="J829" s="4" t="s">
        <v>121</v>
      </c>
      <c r="K829" s="5" t="s">
        <v>136</v>
      </c>
      <c r="L829" s="6" t="str">
        <f t="shared" si="125"/>
        <v>5T1</v>
      </c>
      <c r="M829" s="13" t="s">
        <v>2270</v>
      </c>
      <c r="N829" s="7" t="s">
        <v>3828</v>
      </c>
      <c r="O829" s="13" t="s">
        <v>1038</v>
      </c>
      <c r="P829" s="115" t="s">
        <v>2271</v>
      </c>
      <c r="Q829" s="8"/>
      <c r="R829" s="2">
        <v>1</v>
      </c>
      <c r="S829" s="9">
        <v>1200</v>
      </c>
      <c r="T829" s="10">
        <f t="shared" si="140"/>
        <v>600</v>
      </c>
      <c r="U829" s="9">
        <v>0</v>
      </c>
      <c r="V829" s="10">
        <v>0</v>
      </c>
      <c r="W829" s="4" t="s">
        <v>2272</v>
      </c>
      <c r="X829" s="2"/>
      <c r="Y829" s="11">
        <v>4</v>
      </c>
      <c r="Z829" s="12">
        <f t="shared" si="126"/>
        <v>0</v>
      </c>
      <c r="AA829" s="4" t="s">
        <v>2273</v>
      </c>
      <c r="AC829" s="176">
        <f t="shared" si="143"/>
        <v>0</v>
      </c>
      <c r="AD829"/>
    </row>
    <row r="830" spans="2:30">
      <c r="B830" s="183">
        <f t="shared" si="127"/>
        <v>24</v>
      </c>
      <c r="C830" s="107" t="str">
        <f t="shared" si="128"/>
        <v>ATK</v>
      </c>
      <c r="D830" s="2" t="s">
        <v>2275</v>
      </c>
      <c r="E830" s="3">
        <v>43993</v>
      </c>
      <c r="F830" s="3">
        <v>43994</v>
      </c>
      <c r="G830" s="108">
        <f t="shared" si="129"/>
        <v>6</v>
      </c>
      <c r="H830" s="108" t="str">
        <f t="shared" si="130"/>
        <v>완료</v>
      </c>
      <c r="I830" s="112" t="s">
        <v>264</v>
      </c>
      <c r="J830" s="4" t="s">
        <v>2274</v>
      </c>
      <c r="K830" s="5" t="s">
        <v>2274</v>
      </c>
      <c r="L830" s="6" t="str">
        <f t="shared" si="125"/>
        <v>K5</v>
      </c>
      <c r="M830" s="13" t="s">
        <v>2276</v>
      </c>
      <c r="N830" s="7" t="s">
        <v>3829</v>
      </c>
      <c r="O830" s="13" t="s">
        <v>339</v>
      </c>
      <c r="P830" s="115" t="s">
        <v>2277</v>
      </c>
      <c r="Q830" s="8"/>
      <c r="R830" s="2">
        <v>1</v>
      </c>
      <c r="S830" s="9">
        <v>1000</v>
      </c>
      <c r="T830" s="10">
        <f t="shared" si="140"/>
        <v>500</v>
      </c>
      <c r="U830" s="9">
        <v>5</v>
      </c>
      <c r="V830" s="10">
        <f t="shared" si="141"/>
        <v>495</v>
      </c>
      <c r="W830" s="4" t="s">
        <v>2272</v>
      </c>
      <c r="X830" s="2"/>
      <c r="Y830" s="11">
        <v>4</v>
      </c>
      <c r="Z830" s="12">
        <f t="shared" si="126"/>
        <v>1</v>
      </c>
      <c r="AA830" s="4" t="s">
        <v>2273</v>
      </c>
      <c r="AC830" s="176">
        <f t="shared" si="143"/>
        <v>4.5454545454545452E-3</v>
      </c>
      <c r="AD830"/>
    </row>
    <row r="831" spans="2:30">
      <c r="B831" s="183">
        <f t="shared" si="127"/>
        <v>24</v>
      </c>
      <c r="C831" s="107" t="str">
        <f t="shared" si="128"/>
        <v>ATK</v>
      </c>
      <c r="D831" s="2" t="s">
        <v>2275</v>
      </c>
      <c r="E831" s="3">
        <v>43993</v>
      </c>
      <c r="F831" s="3">
        <v>43994</v>
      </c>
      <c r="G831" s="108">
        <f t="shared" si="129"/>
        <v>6</v>
      </c>
      <c r="H831" s="108" t="str">
        <f t="shared" si="130"/>
        <v>완료</v>
      </c>
      <c r="I831" s="112" t="s">
        <v>264</v>
      </c>
      <c r="J831" s="4" t="s">
        <v>2274</v>
      </c>
      <c r="K831" s="5" t="s">
        <v>2274</v>
      </c>
      <c r="L831" s="6" t="str">
        <f t="shared" si="125"/>
        <v>K5</v>
      </c>
      <c r="M831" s="13" t="s">
        <v>2276</v>
      </c>
      <c r="N831" s="7" t="s">
        <v>3829</v>
      </c>
      <c r="O831" s="13" t="s">
        <v>339</v>
      </c>
      <c r="P831" s="115" t="s">
        <v>2278</v>
      </c>
      <c r="Q831" s="8"/>
      <c r="R831" s="2">
        <v>1</v>
      </c>
      <c r="S831" s="9">
        <v>1000</v>
      </c>
      <c r="T831" s="10">
        <f t="shared" ref="T831:T832" si="144">(S831*50)/100*R831</f>
        <v>500</v>
      </c>
      <c r="U831" s="9">
        <v>5</v>
      </c>
      <c r="V831" s="10">
        <f t="shared" ref="V831:V832" si="145">T831-U831</f>
        <v>495</v>
      </c>
      <c r="W831" s="4" t="s">
        <v>2272</v>
      </c>
      <c r="X831" s="2"/>
      <c r="Y831" s="11">
        <v>4</v>
      </c>
      <c r="Z831" s="12">
        <f t="shared" si="126"/>
        <v>1</v>
      </c>
      <c r="AA831" s="4" t="s">
        <v>2282</v>
      </c>
      <c r="AC831" s="176">
        <f t="shared" si="143"/>
        <v>4.5454545454545452E-3</v>
      </c>
      <c r="AD831"/>
    </row>
    <row r="832" spans="2:30">
      <c r="B832" s="183">
        <f t="shared" si="127"/>
        <v>24</v>
      </c>
      <c r="C832" s="107" t="str">
        <f t="shared" si="128"/>
        <v>ATK</v>
      </c>
      <c r="D832" s="2" t="s">
        <v>1497</v>
      </c>
      <c r="E832" s="3">
        <v>43993</v>
      </c>
      <c r="F832" s="3">
        <v>43993</v>
      </c>
      <c r="G832" s="108">
        <f t="shared" si="129"/>
        <v>6</v>
      </c>
      <c r="H832" s="108" t="str">
        <f t="shared" si="130"/>
        <v>완료</v>
      </c>
      <c r="I832" s="112" t="s">
        <v>218</v>
      </c>
      <c r="J832" s="4" t="s">
        <v>115</v>
      </c>
      <c r="K832" s="5" t="s">
        <v>116</v>
      </c>
      <c r="L832" s="6" t="str">
        <f t="shared" si="125"/>
        <v>EE2</v>
      </c>
      <c r="M832" s="13" t="s">
        <v>256</v>
      </c>
      <c r="N832" s="7" t="s">
        <v>3506</v>
      </c>
      <c r="O832" s="13" t="s">
        <v>1498</v>
      </c>
      <c r="P832" s="115" t="s">
        <v>1499</v>
      </c>
      <c r="Q832" s="8"/>
      <c r="R832" s="2">
        <v>1</v>
      </c>
      <c r="S832" s="9">
        <v>400</v>
      </c>
      <c r="T832" s="10">
        <f t="shared" si="144"/>
        <v>200</v>
      </c>
      <c r="U832" s="9"/>
      <c r="V832" s="10">
        <f t="shared" si="145"/>
        <v>200</v>
      </c>
      <c r="W832" s="4" t="s">
        <v>122</v>
      </c>
      <c r="X832" s="2"/>
      <c r="Y832" s="11">
        <v>3</v>
      </c>
      <c r="Z832" s="12">
        <f t="shared" si="126"/>
        <v>0</v>
      </c>
      <c r="AA832" s="4" t="s">
        <v>259</v>
      </c>
      <c r="AC832" s="176">
        <f t="shared" si="143"/>
        <v>0</v>
      </c>
      <c r="AD832"/>
    </row>
    <row r="833" spans="2:30">
      <c r="B833" s="183">
        <f t="shared" si="127"/>
        <v>24</v>
      </c>
      <c r="C833" s="107" t="str">
        <f t="shared" si="128"/>
        <v>ATK</v>
      </c>
      <c r="D833" s="2" t="s">
        <v>2279</v>
      </c>
      <c r="E833" s="3">
        <v>43994</v>
      </c>
      <c r="F833" s="3">
        <v>43994</v>
      </c>
      <c r="G833" s="108">
        <f t="shared" si="129"/>
        <v>6</v>
      </c>
      <c r="H833" s="108" t="str">
        <f t="shared" si="130"/>
        <v>완료</v>
      </c>
      <c r="I833" s="112" t="s">
        <v>218</v>
      </c>
      <c r="J833" s="4" t="s">
        <v>127</v>
      </c>
      <c r="K833" s="5" t="s">
        <v>131</v>
      </c>
      <c r="L833" s="6" t="str">
        <f t="shared" si="125"/>
        <v>1T4</v>
      </c>
      <c r="M833" s="13" t="s">
        <v>2280</v>
      </c>
      <c r="N833" s="7" t="s">
        <v>3642</v>
      </c>
      <c r="O833" s="13" t="s">
        <v>2237</v>
      </c>
      <c r="P833" s="115" t="s">
        <v>2238</v>
      </c>
      <c r="Q833" s="8" t="s">
        <v>2281</v>
      </c>
      <c r="R833" s="2">
        <v>1</v>
      </c>
      <c r="S833" s="9">
        <v>300</v>
      </c>
      <c r="T833" s="10">
        <f t="shared" si="140"/>
        <v>150</v>
      </c>
      <c r="U833" s="9">
        <v>0</v>
      </c>
      <c r="V833" s="10">
        <f t="shared" si="141"/>
        <v>150</v>
      </c>
      <c r="W833" s="4" t="s">
        <v>122</v>
      </c>
      <c r="X833" s="2"/>
      <c r="Y833" s="11">
        <v>3</v>
      </c>
      <c r="Z833" s="12">
        <f t="shared" si="126"/>
        <v>0</v>
      </c>
      <c r="AA833" s="4" t="s">
        <v>120</v>
      </c>
      <c r="AC833" s="176">
        <f t="shared" si="143"/>
        <v>0</v>
      </c>
      <c r="AD833"/>
    </row>
    <row r="834" spans="2:30">
      <c r="B834" s="183">
        <f t="shared" si="127"/>
        <v>25</v>
      </c>
      <c r="C834" s="107" t="str">
        <f t="shared" si="128"/>
        <v>ATK</v>
      </c>
      <c r="D834" s="2" t="s">
        <v>2287</v>
      </c>
      <c r="E834" s="3">
        <v>43997</v>
      </c>
      <c r="F834" s="3">
        <v>43997</v>
      </c>
      <c r="G834" s="108">
        <f t="shared" si="129"/>
        <v>6</v>
      </c>
      <c r="H834" s="108" t="str">
        <f t="shared" si="130"/>
        <v>완료</v>
      </c>
      <c r="I834" s="112" t="s">
        <v>218</v>
      </c>
      <c r="J834" s="4" t="s">
        <v>2285</v>
      </c>
      <c r="K834" s="5" t="s">
        <v>2286</v>
      </c>
      <c r="L834" s="6" t="str">
        <f t="shared" ref="L834:L897" si="146">LEFT(K834,3)</f>
        <v>EE2</v>
      </c>
      <c r="M834" s="13" t="s">
        <v>2284</v>
      </c>
      <c r="N834" s="7" t="s">
        <v>3513</v>
      </c>
      <c r="O834" s="13" t="s">
        <v>1320</v>
      </c>
      <c r="P834" s="115"/>
      <c r="Q834" s="8"/>
      <c r="R834" s="2">
        <v>1</v>
      </c>
      <c r="S834" s="9">
        <v>5000</v>
      </c>
      <c r="T834" s="10">
        <f t="shared" si="140"/>
        <v>2500</v>
      </c>
      <c r="U834" s="9">
        <v>5</v>
      </c>
      <c r="V834" s="10">
        <f t="shared" si="141"/>
        <v>2495</v>
      </c>
      <c r="W834" s="4" t="s">
        <v>122</v>
      </c>
      <c r="X834" s="2"/>
      <c r="Y834" s="11">
        <v>1</v>
      </c>
      <c r="Z834" s="12">
        <f t="shared" ref="Z834:Z897" si="147">F834-E834</f>
        <v>0</v>
      </c>
      <c r="AA834" s="4" t="s">
        <v>2288</v>
      </c>
      <c r="AC834" s="176">
        <f t="shared" si="143"/>
        <v>4.5454545454545452E-3</v>
      </c>
      <c r="AD834"/>
    </row>
    <row r="835" spans="2:30">
      <c r="B835" s="183">
        <f t="shared" ref="B835:B898" si="148">IF(F835&gt;0,IFERROR(WEEKNUM(F835),""),"")</f>
        <v>30</v>
      </c>
      <c r="C835" s="107" t="str">
        <f t="shared" ref="C835:C898" si="149">IF(D835=0,"",(IF(LEFT(D835,3)="ATK","ATK",IF(LEFT(D835,2)="AT",D835,"ATK"))))</f>
        <v>ATK</v>
      </c>
      <c r="D835" s="2" t="s">
        <v>2289</v>
      </c>
      <c r="E835" s="3">
        <v>43994</v>
      </c>
      <c r="F835" s="3">
        <v>44032</v>
      </c>
      <c r="G835" s="108">
        <f t="shared" ref="G835:G898" si="150">IF(F835&gt;0,MONTH(F835),"")</f>
        <v>7</v>
      </c>
      <c r="H835" s="108" t="str">
        <f t="shared" ref="H835:H898" si="151">IF(I835=0,"",IF(RIGHT(I835,2)="완료","완료",IF(RIGHT(I835,2)="불가","수리불가",IF(RIGHT(I835,1)="중","수리중","Other"))))</f>
        <v>완료</v>
      </c>
      <c r="I835" s="112" t="s">
        <v>218</v>
      </c>
      <c r="J835" s="4" t="s">
        <v>115</v>
      </c>
      <c r="K835" s="5" t="s">
        <v>138</v>
      </c>
      <c r="L835" s="6" t="str">
        <f t="shared" si="146"/>
        <v>EE1</v>
      </c>
      <c r="M835" s="13" t="s">
        <v>2291</v>
      </c>
      <c r="N835" s="7" t="s">
        <v>3517</v>
      </c>
      <c r="O835" s="13" t="s">
        <v>2293</v>
      </c>
      <c r="P835" s="115" t="s">
        <v>3052</v>
      </c>
      <c r="Q835" s="8"/>
      <c r="R835" s="2">
        <v>2</v>
      </c>
      <c r="S835" s="9">
        <v>3000</v>
      </c>
      <c r="T835" s="10">
        <f t="shared" si="140"/>
        <v>3000</v>
      </c>
      <c r="U835" s="9">
        <v>10</v>
      </c>
      <c r="V835" s="10">
        <f t="shared" si="141"/>
        <v>2990</v>
      </c>
      <c r="W835" s="4" t="s">
        <v>122</v>
      </c>
      <c r="X835" s="2"/>
      <c r="Y835" s="11">
        <v>12</v>
      </c>
      <c r="Z835" s="12">
        <f t="shared" si="147"/>
        <v>38</v>
      </c>
      <c r="AA835" s="4" t="s">
        <v>212</v>
      </c>
      <c r="AC835" s="176">
        <f t="shared" si="143"/>
        <v>9.0909090909090905E-3</v>
      </c>
      <c r="AD835"/>
    </row>
    <row r="836" spans="2:30">
      <c r="B836" s="183">
        <f t="shared" si="148"/>
        <v>25</v>
      </c>
      <c r="C836" s="107" t="str">
        <f t="shared" si="149"/>
        <v>ATK</v>
      </c>
      <c r="D836" s="2" t="s">
        <v>2290</v>
      </c>
      <c r="E836" s="3">
        <v>43997</v>
      </c>
      <c r="F836" s="3">
        <v>43997</v>
      </c>
      <c r="G836" s="108">
        <f t="shared" si="150"/>
        <v>6</v>
      </c>
      <c r="H836" s="108" t="str">
        <f t="shared" si="151"/>
        <v>완료</v>
      </c>
      <c r="I836" s="112" t="s">
        <v>218</v>
      </c>
      <c r="J836" s="4" t="s">
        <v>808</v>
      </c>
      <c r="K836" s="5" t="s">
        <v>833</v>
      </c>
      <c r="L836" s="6" t="str">
        <f t="shared" si="146"/>
        <v>1T3</v>
      </c>
      <c r="M836" s="13" t="s">
        <v>2292</v>
      </c>
      <c r="N836" s="7" t="s">
        <v>3830</v>
      </c>
      <c r="O836" s="13" t="s">
        <v>2294</v>
      </c>
      <c r="P836" s="115" t="s">
        <v>2295</v>
      </c>
      <c r="Q836" s="8"/>
      <c r="R836" s="2">
        <v>1</v>
      </c>
      <c r="S836" s="9">
        <v>1500</v>
      </c>
      <c r="T836" s="10">
        <f t="shared" si="140"/>
        <v>750</v>
      </c>
      <c r="U836" s="9">
        <v>5</v>
      </c>
      <c r="V836" s="10">
        <f t="shared" si="141"/>
        <v>745</v>
      </c>
      <c r="W836" s="4" t="s">
        <v>122</v>
      </c>
      <c r="X836" s="2"/>
      <c r="Y836" s="11">
        <v>6</v>
      </c>
      <c r="Z836" s="12">
        <f t="shared" si="147"/>
        <v>0</v>
      </c>
      <c r="AA836" s="4" t="s">
        <v>212</v>
      </c>
      <c r="AD836"/>
    </row>
    <row r="837" spans="2:30">
      <c r="B837" s="183">
        <f t="shared" si="148"/>
        <v>25</v>
      </c>
      <c r="C837" s="107" t="str">
        <f t="shared" si="149"/>
        <v>ATK</v>
      </c>
      <c r="D837" s="2" t="s">
        <v>2296</v>
      </c>
      <c r="E837" s="3">
        <v>43997</v>
      </c>
      <c r="F837" s="3">
        <v>43997</v>
      </c>
      <c r="G837" s="108">
        <f t="shared" si="150"/>
        <v>6</v>
      </c>
      <c r="H837" s="108" t="str">
        <f t="shared" si="151"/>
        <v>완료</v>
      </c>
      <c r="I837" s="112" t="s">
        <v>218</v>
      </c>
      <c r="J837" s="4" t="s">
        <v>132</v>
      </c>
      <c r="K837" s="5" t="s">
        <v>322</v>
      </c>
      <c r="L837" s="6" t="str">
        <f t="shared" si="146"/>
        <v>3T1</v>
      </c>
      <c r="M837" s="13" t="s">
        <v>4065</v>
      </c>
      <c r="N837" s="7"/>
      <c r="O837" s="13" t="s">
        <v>1166</v>
      </c>
      <c r="P837" s="115" t="s">
        <v>2297</v>
      </c>
      <c r="Q837" s="8"/>
      <c r="R837" s="2">
        <v>1</v>
      </c>
      <c r="S837" s="9">
        <v>1500</v>
      </c>
      <c r="T837" s="10">
        <f t="shared" si="140"/>
        <v>750</v>
      </c>
      <c r="U837" s="9"/>
      <c r="V837" s="10">
        <f t="shared" si="141"/>
        <v>750</v>
      </c>
      <c r="W837" s="4" t="s">
        <v>122</v>
      </c>
      <c r="X837" s="2"/>
      <c r="Y837" s="11">
        <v>3</v>
      </c>
      <c r="Z837" s="12">
        <f t="shared" si="147"/>
        <v>0</v>
      </c>
      <c r="AA837" s="4" t="s">
        <v>259</v>
      </c>
      <c r="AC837" s="176">
        <f t="shared" si="143"/>
        <v>0</v>
      </c>
      <c r="AD837"/>
    </row>
    <row r="838" spans="2:30">
      <c r="B838" s="183">
        <f t="shared" si="148"/>
        <v>25</v>
      </c>
      <c r="C838" s="107" t="str">
        <f t="shared" si="149"/>
        <v>ATK</v>
      </c>
      <c r="D838" s="2" t="s">
        <v>2298</v>
      </c>
      <c r="E838" s="3">
        <v>43984</v>
      </c>
      <c r="F838" s="3">
        <v>43997</v>
      </c>
      <c r="G838" s="108">
        <f t="shared" si="150"/>
        <v>6</v>
      </c>
      <c r="H838" s="108" t="str">
        <f t="shared" si="151"/>
        <v>완료</v>
      </c>
      <c r="I838" s="112" t="s">
        <v>264</v>
      </c>
      <c r="J838" s="4" t="s">
        <v>265</v>
      </c>
      <c r="K838" s="5" t="s">
        <v>793</v>
      </c>
      <c r="L838" s="6" t="str">
        <f t="shared" si="146"/>
        <v>3T3</v>
      </c>
      <c r="M838" s="13" t="s">
        <v>207</v>
      </c>
      <c r="N838" s="7" t="s">
        <v>3736</v>
      </c>
      <c r="O838" s="13" t="s">
        <v>339</v>
      </c>
      <c r="P838" s="115" t="s">
        <v>1550</v>
      </c>
      <c r="Q838" s="8"/>
      <c r="R838" s="2">
        <v>1</v>
      </c>
      <c r="S838" s="9">
        <v>1500</v>
      </c>
      <c r="T838" s="10">
        <f t="shared" si="140"/>
        <v>750</v>
      </c>
      <c r="U838" s="9">
        <v>20</v>
      </c>
      <c r="V838" s="10">
        <f t="shared" si="141"/>
        <v>730</v>
      </c>
      <c r="W838" s="4" t="s">
        <v>249</v>
      </c>
      <c r="X838" s="2"/>
      <c r="Y838" s="11">
        <v>4</v>
      </c>
      <c r="Z838" s="12">
        <f t="shared" si="147"/>
        <v>13</v>
      </c>
      <c r="AA838" s="4" t="s">
        <v>174</v>
      </c>
      <c r="AC838" s="176">
        <f t="shared" si="143"/>
        <v>1.8181818181818181E-2</v>
      </c>
      <c r="AD838"/>
    </row>
    <row r="839" spans="2:30">
      <c r="B839" s="183">
        <f t="shared" si="148"/>
        <v>25</v>
      </c>
      <c r="C839" s="107" t="str">
        <f t="shared" si="149"/>
        <v>ATK</v>
      </c>
      <c r="D839" s="2" t="s">
        <v>2300</v>
      </c>
      <c r="E839" s="3">
        <v>43997</v>
      </c>
      <c r="F839" s="3">
        <v>43997</v>
      </c>
      <c r="G839" s="108">
        <f t="shared" si="150"/>
        <v>6</v>
      </c>
      <c r="H839" s="108" t="str">
        <f t="shared" si="151"/>
        <v>완료</v>
      </c>
      <c r="I839" s="112" t="s">
        <v>218</v>
      </c>
      <c r="J839" s="4" t="s">
        <v>132</v>
      </c>
      <c r="K839" s="5" t="s">
        <v>143</v>
      </c>
      <c r="L839" s="6" t="str">
        <f t="shared" si="146"/>
        <v>3T4</v>
      </c>
      <c r="M839" s="13" t="s">
        <v>2202</v>
      </c>
      <c r="N839" s="7" t="s">
        <v>3831</v>
      </c>
      <c r="O839" s="13" t="s">
        <v>2301</v>
      </c>
      <c r="P839" s="115"/>
      <c r="Q839" s="8"/>
      <c r="R839" s="2">
        <v>1</v>
      </c>
      <c r="S839" s="9">
        <v>600</v>
      </c>
      <c r="T839" s="10">
        <f t="shared" si="140"/>
        <v>300</v>
      </c>
      <c r="U839" s="9">
        <v>7</v>
      </c>
      <c r="V839" s="10">
        <f t="shared" si="141"/>
        <v>293</v>
      </c>
      <c r="W839" s="4" t="s">
        <v>122</v>
      </c>
      <c r="X839" s="2"/>
      <c r="Y839" s="11">
        <v>2</v>
      </c>
      <c r="Z839" s="12">
        <f t="shared" si="147"/>
        <v>0</v>
      </c>
      <c r="AA839" s="4" t="s">
        <v>117</v>
      </c>
      <c r="AC839" s="176">
        <f t="shared" si="143"/>
        <v>6.3636363636363638E-3</v>
      </c>
      <c r="AD839"/>
    </row>
    <row r="840" spans="2:30">
      <c r="B840" s="183">
        <f t="shared" si="148"/>
        <v>25</v>
      </c>
      <c r="C840" s="107" t="str">
        <f t="shared" si="149"/>
        <v>ATK</v>
      </c>
      <c r="D840" s="2" t="s">
        <v>520</v>
      </c>
      <c r="E840" s="3">
        <v>43997</v>
      </c>
      <c r="F840" s="3">
        <v>44000</v>
      </c>
      <c r="G840" s="108">
        <f t="shared" si="150"/>
        <v>6</v>
      </c>
      <c r="H840" s="108" t="str">
        <f t="shared" si="151"/>
        <v>완료</v>
      </c>
      <c r="I840" s="112" t="s">
        <v>218</v>
      </c>
      <c r="J840" s="4" t="s">
        <v>121</v>
      </c>
      <c r="K840" s="5" t="s">
        <v>136</v>
      </c>
      <c r="L840" s="6" t="str">
        <f t="shared" si="146"/>
        <v>5T1</v>
      </c>
      <c r="M840" s="13" t="s">
        <v>2303</v>
      </c>
      <c r="N840" s="7" t="s">
        <v>3832</v>
      </c>
      <c r="O840" s="13" t="s">
        <v>2302</v>
      </c>
      <c r="P840" s="115"/>
      <c r="Q840" s="8"/>
      <c r="R840" s="2">
        <v>1</v>
      </c>
      <c r="S840" s="9">
        <v>18000</v>
      </c>
      <c r="T840" s="10">
        <f t="shared" si="140"/>
        <v>9000</v>
      </c>
      <c r="U840" s="9">
        <v>20</v>
      </c>
      <c r="V840" s="10">
        <f t="shared" si="141"/>
        <v>8980</v>
      </c>
      <c r="W840" s="4" t="s">
        <v>122</v>
      </c>
      <c r="X840" s="2"/>
      <c r="Y840" s="11">
        <v>8</v>
      </c>
      <c r="Z840" s="12">
        <f t="shared" si="147"/>
        <v>3</v>
      </c>
      <c r="AA840" s="4" t="s">
        <v>117</v>
      </c>
      <c r="AC840" s="176">
        <f t="shared" si="143"/>
        <v>1.8181818181818181E-2</v>
      </c>
      <c r="AD840"/>
    </row>
    <row r="841" spans="2:30">
      <c r="B841" s="183">
        <f t="shared" si="148"/>
        <v>25</v>
      </c>
      <c r="C841" s="107" t="str">
        <f t="shared" si="149"/>
        <v>ATK</v>
      </c>
      <c r="D841" s="2" t="s">
        <v>2304</v>
      </c>
      <c r="E841" s="3">
        <v>43997</v>
      </c>
      <c r="F841" s="3">
        <v>43997</v>
      </c>
      <c r="G841" s="108">
        <f t="shared" si="150"/>
        <v>6</v>
      </c>
      <c r="H841" s="108" t="str">
        <f t="shared" si="151"/>
        <v>완료</v>
      </c>
      <c r="I841" s="112" t="s">
        <v>218</v>
      </c>
      <c r="J841" s="4" t="s">
        <v>132</v>
      </c>
      <c r="K841" s="5" t="s">
        <v>143</v>
      </c>
      <c r="L841" s="6" t="str">
        <f t="shared" si="146"/>
        <v>3T4</v>
      </c>
      <c r="M841" s="13" t="s">
        <v>2305</v>
      </c>
      <c r="N841" s="7" t="s">
        <v>3528</v>
      </c>
      <c r="O841" s="13" t="s">
        <v>367</v>
      </c>
      <c r="P841" s="115" t="s">
        <v>2306</v>
      </c>
      <c r="Q841" s="8"/>
      <c r="R841" s="2">
        <v>1</v>
      </c>
      <c r="S841" s="9">
        <v>900</v>
      </c>
      <c r="T841" s="10">
        <f t="shared" si="140"/>
        <v>450</v>
      </c>
      <c r="U841" s="9">
        <v>30</v>
      </c>
      <c r="V841" s="10">
        <f t="shared" si="141"/>
        <v>420</v>
      </c>
      <c r="W841" s="4" t="s">
        <v>122</v>
      </c>
      <c r="X841" s="2"/>
      <c r="Y841" s="11">
        <v>5</v>
      </c>
      <c r="Z841" s="12">
        <f t="shared" si="147"/>
        <v>0</v>
      </c>
      <c r="AA841" s="4" t="s">
        <v>259</v>
      </c>
      <c r="AC841" s="176">
        <f t="shared" si="143"/>
        <v>2.7272727272727271E-2</v>
      </c>
      <c r="AD841"/>
    </row>
    <row r="842" spans="2:30">
      <c r="B842" s="183">
        <f t="shared" si="148"/>
        <v>25</v>
      </c>
      <c r="C842" s="107" t="str">
        <f t="shared" si="149"/>
        <v>ATP</v>
      </c>
      <c r="D842" s="2" t="s">
        <v>961</v>
      </c>
      <c r="E842" s="3">
        <v>43997</v>
      </c>
      <c r="F842" s="3">
        <v>43997</v>
      </c>
      <c r="G842" s="108">
        <f t="shared" si="150"/>
        <v>6</v>
      </c>
      <c r="H842" s="108" t="str">
        <f t="shared" si="151"/>
        <v>Other</v>
      </c>
      <c r="I842" s="112" t="s">
        <v>251</v>
      </c>
      <c r="J842" s="4" t="s">
        <v>2307</v>
      </c>
      <c r="K842" s="5" t="s">
        <v>2307</v>
      </c>
      <c r="L842" s="6" t="str">
        <f t="shared" si="146"/>
        <v>ATP</v>
      </c>
      <c r="M842" s="13" t="s">
        <v>226</v>
      </c>
      <c r="N842" s="7" t="s">
        <v>140</v>
      </c>
      <c r="O842" s="13" t="s">
        <v>226</v>
      </c>
      <c r="P842" s="115" t="s">
        <v>2308</v>
      </c>
      <c r="Q842" s="8"/>
      <c r="R842" s="2">
        <v>1</v>
      </c>
      <c r="S842" s="9">
        <v>0</v>
      </c>
      <c r="T842" s="10">
        <f t="shared" si="140"/>
        <v>0</v>
      </c>
      <c r="U842" s="9">
        <v>0</v>
      </c>
      <c r="V842" s="10">
        <f t="shared" si="141"/>
        <v>0</v>
      </c>
      <c r="W842" s="4" t="s">
        <v>122</v>
      </c>
      <c r="X842" s="2"/>
      <c r="Y842" s="11">
        <v>3</v>
      </c>
      <c r="Z842" s="12">
        <f t="shared" si="147"/>
        <v>0</v>
      </c>
      <c r="AA842" s="4" t="s">
        <v>174</v>
      </c>
      <c r="AC842" s="176">
        <f t="shared" si="143"/>
        <v>0</v>
      </c>
      <c r="AD842"/>
    </row>
    <row r="843" spans="2:30">
      <c r="B843" s="183">
        <f t="shared" si="148"/>
        <v>25</v>
      </c>
      <c r="C843" s="107" t="str">
        <f t="shared" si="149"/>
        <v>ATK</v>
      </c>
      <c r="D843" s="2" t="s">
        <v>2309</v>
      </c>
      <c r="E843" s="3">
        <v>43998</v>
      </c>
      <c r="F843" s="3">
        <v>43999</v>
      </c>
      <c r="G843" s="108">
        <f t="shared" si="150"/>
        <v>6</v>
      </c>
      <c r="H843" s="108" t="str">
        <f t="shared" si="151"/>
        <v>완료</v>
      </c>
      <c r="I843" s="112" t="s">
        <v>218</v>
      </c>
      <c r="J843" s="4" t="s">
        <v>132</v>
      </c>
      <c r="K843" s="5" t="s">
        <v>133</v>
      </c>
      <c r="L843" s="6" t="str">
        <f t="shared" si="146"/>
        <v>3T3</v>
      </c>
      <c r="M843" s="13" t="s">
        <v>1582</v>
      </c>
      <c r="N843" s="7" t="s">
        <v>3725</v>
      </c>
      <c r="O843" s="13" t="s">
        <v>225</v>
      </c>
      <c r="P843" s="115" t="s">
        <v>330</v>
      </c>
      <c r="Q843" s="8"/>
      <c r="R843" s="2">
        <v>1</v>
      </c>
      <c r="S843" s="9">
        <v>7000</v>
      </c>
      <c r="T843" s="10">
        <f t="shared" si="140"/>
        <v>3500</v>
      </c>
      <c r="U843" s="9">
        <v>300</v>
      </c>
      <c r="V843" s="10">
        <f t="shared" si="141"/>
        <v>3200</v>
      </c>
      <c r="W843" s="4" t="s">
        <v>122</v>
      </c>
      <c r="X843" s="2"/>
      <c r="Y843" s="11">
        <v>6</v>
      </c>
      <c r="Z843" s="12">
        <f t="shared" si="147"/>
        <v>1</v>
      </c>
      <c r="AA843" s="4" t="s">
        <v>27</v>
      </c>
      <c r="AC843" s="176">
        <f t="shared" si="143"/>
        <v>0.27272727272727271</v>
      </c>
      <c r="AD843"/>
    </row>
    <row r="844" spans="2:30">
      <c r="B844" s="183">
        <f t="shared" si="148"/>
        <v>25</v>
      </c>
      <c r="C844" s="107" t="str">
        <f t="shared" si="149"/>
        <v>ATK</v>
      </c>
      <c r="D844" s="2" t="s">
        <v>2310</v>
      </c>
      <c r="E844" s="3">
        <v>43998</v>
      </c>
      <c r="F844" s="3">
        <v>44000</v>
      </c>
      <c r="G844" s="108">
        <f t="shared" si="150"/>
        <v>6</v>
      </c>
      <c r="H844" s="108" t="str">
        <f t="shared" si="151"/>
        <v>완료</v>
      </c>
      <c r="I844" s="112" t="s">
        <v>218</v>
      </c>
      <c r="J844" s="4" t="s">
        <v>2311</v>
      </c>
      <c r="K844" s="5" t="s">
        <v>2312</v>
      </c>
      <c r="L844" s="6" t="str">
        <f t="shared" si="146"/>
        <v>3T1</v>
      </c>
      <c r="M844" s="13" t="s">
        <v>2313</v>
      </c>
      <c r="N844" s="7" t="s">
        <v>3833</v>
      </c>
      <c r="O844" s="13" t="s">
        <v>2313</v>
      </c>
      <c r="P844" s="115" t="s">
        <v>2314</v>
      </c>
      <c r="Q844" s="8"/>
      <c r="R844" s="2">
        <v>1</v>
      </c>
      <c r="S844" s="9">
        <v>1000</v>
      </c>
      <c r="T844" s="10">
        <f t="shared" si="140"/>
        <v>500</v>
      </c>
      <c r="U844" s="9">
        <v>5</v>
      </c>
      <c r="V844" s="10">
        <f t="shared" si="141"/>
        <v>495</v>
      </c>
      <c r="W844" s="4" t="s">
        <v>2315</v>
      </c>
      <c r="X844" s="2"/>
      <c r="Y844" s="11">
        <v>4</v>
      </c>
      <c r="Z844" s="12">
        <f t="shared" si="147"/>
        <v>2</v>
      </c>
      <c r="AA844" s="4" t="s">
        <v>2316</v>
      </c>
      <c r="AC844" s="176">
        <f t="shared" si="143"/>
        <v>4.5454545454545452E-3</v>
      </c>
      <c r="AD844"/>
    </row>
    <row r="845" spans="2:30">
      <c r="B845" s="183">
        <f t="shared" si="148"/>
        <v>25</v>
      </c>
      <c r="C845" s="107" t="str">
        <f t="shared" si="149"/>
        <v>ATK</v>
      </c>
      <c r="D845" s="2" t="s">
        <v>2317</v>
      </c>
      <c r="E845" s="3">
        <v>43998</v>
      </c>
      <c r="F845" s="3">
        <v>43998</v>
      </c>
      <c r="G845" s="108">
        <f t="shared" si="150"/>
        <v>6</v>
      </c>
      <c r="H845" s="108" t="str">
        <f t="shared" si="151"/>
        <v>완료</v>
      </c>
      <c r="I845" s="112" t="s">
        <v>218</v>
      </c>
      <c r="J845" s="4" t="s">
        <v>132</v>
      </c>
      <c r="K845" s="5" t="s">
        <v>322</v>
      </c>
      <c r="L845" s="6" t="str">
        <f t="shared" si="146"/>
        <v>3T1</v>
      </c>
      <c r="M845" s="13" t="s">
        <v>2318</v>
      </c>
      <c r="N845" s="7" t="s">
        <v>3834</v>
      </c>
      <c r="O845" s="13" t="s">
        <v>2319</v>
      </c>
      <c r="P845" s="115" t="s">
        <v>2320</v>
      </c>
      <c r="Q845" s="8"/>
      <c r="R845" s="2">
        <v>1</v>
      </c>
      <c r="S845" s="9">
        <v>150</v>
      </c>
      <c r="T845" s="10">
        <f t="shared" si="140"/>
        <v>75</v>
      </c>
      <c r="U845" s="9">
        <v>0</v>
      </c>
      <c r="V845" s="10">
        <f t="shared" si="141"/>
        <v>75</v>
      </c>
      <c r="W845" s="4" t="s">
        <v>122</v>
      </c>
      <c r="X845" s="2"/>
      <c r="Y845" s="11">
        <v>3</v>
      </c>
      <c r="Z845" s="12">
        <f t="shared" si="147"/>
        <v>0</v>
      </c>
      <c r="AA845" s="4" t="s">
        <v>120</v>
      </c>
      <c r="AC845" s="176">
        <f t="shared" si="143"/>
        <v>0</v>
      </c>
      <c r="AD845"/>
    </row>
    <row r="846" spans="2:30">
      <c r="B846" s="183">
        <f t="shared" si="148"/>
        <v>25</v>
      </c>
      <c r="C846" s="107" t="str">
        <f t="shared" si="149"/>
        <v>ATK</v>
      </c>
      <c r="D846" s="2" t="s">
        <v>238</v>
      </c>
      <c r="E846" s="3">
        <v>43998</v>
      </c>
      <c r="F846" s="3">
        <v>43998</v>
      </c>
      <c r="G846" s="108">
        <f t="shared" si="150"/>
        <v>6</v>
      </c>
      <c r="H846" s="108" t="str">
        <f t="shared" si="151"/>
        <v>완료</v>
      </c>
      <c r="I846" s="112" t="s">
        <v>218</v>
      </c>
      <c r="J846" s="4" t="s">
        <v>132</v>
      </c>
      <c r="K846" s="5" t="s">
        <v>143</v>
      </c>
      <c r="L846" s="6" t="str">
        <f t="shared" si="146"/>
        <v>3T4</v>
      </c>
      <c r="M846" s="13" t="s">
        <v>2321</v>
      </c>
      <c r="N846" s="7"/>
      <c r="O846" s="13" t="s">
        <v>2322</v>
      </c>
      <c r="P846" s="115" t="s">
        <v>2323</v>
      </c>
      <c r="Q846" s="8"/>
      <c r="R846" s="2">
        <v>1</v>
      </c>
      <c r="S846" s="9">
        <v>900</v>
      </c>
      <c r="T846" s="10">
        <f t="shared" si="140"/>
        <v>450</v>
      </c>
      <c r="U846" s="9">
        <v>0</v>
      </c>
      <c r="V846" s="10">
        <f t="shared" si="141"/>
        <v>450</v>
      </c>
      <c r="W846" s="4" t="s">
        <v>122</v>
      </c>
      <c r="X846" s="2"/>
      <c r="Y846" s="11">
        <v>4</v>
      </c>
      <c r="Z846" s="12">
        <f t="shared" si="147"/>
        <v>0</v>
      </c>
      <c r="AA846" s="4" t="s">
        <v>120</v>
      </c>
      <c r="AC846" s="176">
        <f t="shared" si="143"/>
        <v>0</v>
      </c>
      <c r="AD846"/>
    </row>
    <row r="847" spans="2:30">
      <c r="B847" s="183">
        <f t="shared" si="148"/>
        <v>25</v>
      </c>
      <c r="C847" s="107" t="str">
        <f t="shared" si="149"/>
        <v>ATK</v>
      </c>
      <c r="D847" s="2" t="s">
        <v>1555</v>
      </c>
      <c r="E847" s="3">
        <v>43998</v>
      </c>
      <c r="F847" s="3">
        <v>43998</v>
      </c>
      <c r="G847" s="108">
        <f t="shared" si="150"/>
        <v>6</v>
      </c>
      <c r="H847" s="108" t="str">
        <f t="shared" si="151"/>
        <v>완료</v>
      </c>
      <c r="I847" s="112" t="s">
        <v>218</v>
      </c>
      <c r="J847" s="4" t="s">
        <v>139</v>
      </c>
      <c r="K847" s="5" t="s">
        <v>851</v>
      </c>
      <c r="L847" s="6" t="str">
        <f t="shared" si="146"/>
        <v>6T1</v>
      </c>
      <c r="M847" s="13" t="s">
        <v>2324</v>
      </c>
      <c r="N847" s="7" t="s">
        <v>3835</v>
      </c>
      <c r="O847" s="13" t="s">
        <v>2325</v>
      </c>
      <c r="P847" s="115" t="s">
        <v>2326</v>
      </c>
      <c r="Q847" s="8"/>
      <c r="R847" s="2">
        <v>1</v>
      </c>
      <c r="S847" s="9">
        <v>1000</v>
      </c>
      <c r="T847" s="10">
        <f t="shared" si="140"/>
        <v>500</v>
      </c>
      <c r="U847" s="9">
        <v>0</v>
      </c>
      <c r="V847" s="10">
        <f t="shared" si="141"/>
        <v>500</v>
      </c>
      <c r="W847" s="4" t="s">
        <v>122</v>
      </c>
      <c r="X847" s="2"/>
      <c r="Y847" s="11">
        <v>2</v>
      </c>
      <c r="Z847" s="12">
        <f t="shared" si="147"/>
        <v>0</v>
      </c>
      <c r="AA847" s="4" t="s">
        <v>212</v>
      </c>
      <c r="AC847" s="176">
        <f t="shared" si="143"/>
        <v>0</v>
      </c>
      <c r="AD847"/>
    </row>
    <row r="848" spans="2:30">
      <c r="B848" s="183">
        <f t="shared" si="148"/>
        <v>25</v>
      </c>
      <c r="C848" s="107" t="str">
        <f t="shared" si="149"/>
        <v>ATK</v>
      </c>
      <c r="D848" s="2" t="s">
        <v>455</v>
      </c>
      <c r="E848" s="3">
        <v>43998</v>
      </c>
      <c r="F848" s="3">
        <v>43998</v>
      </c>
      <c r="G848" s="108">
        <f t="shared" si="150"/>
        <v>6</v>
      </c>
      <c r="H848" s="108" t="str">
        <f t="shared" si="151"/>
        <v>완료</v>
      </c>
      <c r="I848" s="112" t="s">
        <v>218</v>
      </c>
      <c r="J848" s="4" t="s">
        <v>118</v>
      </c>
      <c r="K848" s="5" t="s">
        <v>119</v>
      </c>
      <c r="L848" s="6" t="str">
        <f t="shared" si="146"/>
        <v>2T3</v>
      </c>
      <c r="M848" s="13" t="s">
        <v>2327</v>
      </c>
      <c r="N848" s="7" t="s">
        <v>3491</v>
      </c>
      <c r="O848" s="13" t="s">
        <v>1440</v>
      </c>
      <c r="P848" s="115"/>
      <c r="Q848" s="8"/>
      <c r="R848" s="2">
        <v>2</v>
      </c>
      <c r="S848" s="9">
        <v>3500</v>
      </c>
      <c r="T848" s="10">
        <f t="shared" si="140"/>
        <v>3500</v>
      </c>
      <c r="U848" s="9">
        <v>10</v>
      </c>
      <c r="V848" s="10">
        <f t="shared" si="141"/>
        <v>3490</v>
      </c>
      <c r="W848" s="4" t="s">
        <v>122</v>
      </c>
      <c r="X848" s="2"/>
      <c r="Y848" s="11">
        <v>3</v>
      </c>
      <c r="Z848" s="12">
        <f t="shared" si="147"/>
        <v>0</v>
      </c>
      <c r="AA848" s="4" t="s">
        <v>117</v>
      </c>
      <c r="AC848" s="176">
        <f t="shared" si="143"/>
        <v>9.0909090909090905E-3</v>
      </c>
      <c r="AD848"/>
    </row>
    <row r="849" spans="2:30">
      <c r="B849" s="183">
        <f t="shared" si="148"/>
        <v>25</v>
      </c>
      <c r="C849" s="107" t="str">
        <f t="shared" si="149"/>
        <v>ATK</v>
      </c>
      <c r="D849" s="2" t="s">
        <v>1333</v>
      </c>
      <c r="E849" s="3">
        <v>43998</v>
      </c>
      <c r="F849" s="3">
        <v>43998</v>
      </c>
      <c r="G849" s="108">
        <f t="shared" si="150"/>
        <v>6</v>
      </c>
      <c r="H849" s="108" t="str">
        <f t="shared" si="151"/>
        <v>Other</v>
      </c>
      <c r="I849" s="112" t="s">
        <v>251</v>
      </c>
      <c r="J849" s="4" t="s">
        <v>132</v>
      </c>
      <c r="K849" s="5" t="s">
        <v>322</v>
      </c>
      <c r="L849" s="6" t="str">
        <f t="shared" si="146"/>
        <v>3T1</v>
      </c>
      <c r="M849" s="13" t="s">
        <v>1894</v>
      </c>
      <c r="N849" s="7" t="s">
        <v>3836</v>
      </c>
      <c r="O849" s="13"/>
      <c r="P849" s="115" t="s">
        <v>2328</v>
      </c>
      <c r="Q849" s="8"/>
      <c r="R849" s="2">
        <v>1</v>
      </c>
      <c r="S849" s="9"/>
      <c r="T849" s="10">
        <f t="shared" si="140"/>
        <v>0</v>
      </c>
      <c r="U849" s="9"/>
      <c r="V849" s="10">
        <f t="shared" si="141"/>
        <v>0</v>
      </c>
      <c r="W849" s="4" t="s">
        <v>122</v>
      </c>
      <c r="X849" s="2"/>
      <c r="Y849" s="11">
        <v>2</v>
      </c>
      <c r="Z849" s="12">
        <f t="shared" si="147"/>
        <v>0</v>
      </c>
      <c r="AA849" s="4" t="s">
        <v>117</v>
      </c>
      <c r="AC849" s="176">
        <f t="shared" si="143"/>
        <v>0</v>
      </c>
      <c r="AD849"/>
    </row>
    <row r="850" spans="2:30">
      <c r="B850" s="183">
        <f t="shared" si="148"/>
        <v>25</v>
      </c>
      <c r="C850" s="107" t="str">
        <f t="shared" si="149"/>
        <v>ATK</v>
      </c>
      <c r="D850" s="2" t="s">
        <v>2329</v>
      </c>
      <c r="E850" s="3">
        <v>43999</v>
      </c>
      <c r="F850" s="3">
        <v>43999</v>
      </c>
      <c r="G850" s="108">
        <f t="shared" si="150"/>
        <v>6</v>
      </c>
      <c r="H850" s="108" t="str">
        <f t="shared" si="151"/>
        <v>완료</v>
      </c>
      <c r="I850" s="112" t="s">
        <v>264</v>
      </c>
      <c r="J850" s="4" t="s">
        <v>2330</v>
      </c>
      <c r="K850" s="5" t="s">
        <v>2331</v>
      </c>
      <c r="L850" s="6" t="str">
        <f t="shared" si="146"/>
        <v>3T1</v>
      </c>
      <c r="M850" s="13" t="s">
        <v>1200</v>
      </c>
      <c r="N850" s="7" t="s">
        <v>3837</v>
      </c>
      <c r="O850" s="13" t="s">
        <v>1200</v>
      </c>
      <c r="P850" s="115" t="s">
        <v>2332</v>
      </c>
      <c r="Q850" s="8"/>
      <c r="R850" s="2">
        <v>1</v>
      </c>
      <c r="S850" s="9">
        <v>1380</v>
      </c>
      <c r="T850" s="10">
        <f t="shared" si="140"/>
        <v>690</v>
      </c>
      <c r="U850" s="9">
        <v>0</v>
      </c>
      <c r="V850" s="10">
        <f t="shared" si="141"/>
        <v>690</v>
      </c>
      <c r="W850" s="4" t="s">
        <v>2333</v>
      </c>
      <c r="X850" s="2"/>
      <c r="Y850" s="11">
        <v>3</v>
      </c>
      <c r="Z850" s="12">
        <f t="shared" si="147"/>
        <v>0</v>
      </c>
      <c r="AA850" s="4" t="s">
        <v>2334</v>
      </c>
      <c r="AC850" s="176">
        <f t="shared" si="143"/>
        <v>0</v>
      </c>
      <c r="AD850"/>
    </row>
    <row r="851" spans="2:30">
      <c r="B851" s="183">
        <f t="shared" si="148"/>
        <v>25</v>
      </c>
      <c r="C851" s="107" t="str">
        <f t="shared" si="149"/>
        <v>ATK</v>
      </c>
      <c r="D851" s="2" t="s">
        <v>2335</v>
      </c>
      <c r="E851" s="3">
        <v>43999</v>
      </c>
      <c r="F851" s="3">
        <v>43999</v>
      </c>
      <c r="G851" s="108">
        <f t="shared" si="150"/>
        <v>6</v>
      </c>
      <c r="H851" s="108" t="str">
        <f t="shared" si="151"/>
        <v>완료</v>
      </c>
      <c r="I851" s="112" t="s">
        <v>218</v>
      </c>
      <c r="J851" s="4" t="s">
        <v>2336</v>
      </c>
      <c r="K851" s="5" t="s">
        <v>2337</v>
      </c>
      <c r="L851" s="6" t="str">
        <f t="shared" si="146"/>
        <v>2T2</v>
      </c>
      <c r="M851" s="13" t="s">
        <v>256</v>
      </c>
      <c r="N851" s="7" t="s">
        <v>3594</v>
      </c>
      <c r="O851" s="13" t="s">
        <v>482</v>
      </c>
      <c r="P851" s="115"/>
      <c r="Q851" s="8"/>
      <c r="R851" s="2">
        <v>1</v>
      </c>
      <c r="S851" s="9">
        <v>1600</v>
      </c>
      <c r="T851" s="10">
        <f t="shared" si="140"/>
        <v>800</v>
      </c>
      <c r="U851" s="9">
        <v>20</v>
      </c>
      <c r="V851" s="10">
        <f t="shared" si="141"/>
        <v>780</v>
      </c>
      <c r="W851" s="4" t="s">
        <v>249</v>
      </c>
      <c r="X851" s="2"/>
      <c r="Y851" s="11">
        <v>2</v>
      </c>
      <c r="Z851" s="12">
        <f t="shared" si="147"/>
        <v>0</v>
      </c>
      <c r="AA851" s="4" t="s">
        <v>2338</v>
      </c>
      <c r="AC851" s="176">
        <f t="shared" si="143"/>
        <v>1.8181818181818181E-2</v>
      </c>
      <c r="AD851"/>
    </row>
    <row r="852" spans="2:30">
      <c r="B852" s="183">
        <f t="shared" si="148"/>
        <v>25</v>
      </c>
      <c r="C852" s="107" t="str">
        <f t="shared" si="149"/>
        <v>ATK</v>
      </c>
      <c r="D852" s="2" t="s">
        <v>2335</v>
      </c>
      <c r="E852" s="3">
        <v>43999</v>
      </c>
      <c r="F852" s="3">
        <v>43999</v>
      </c>
      <c r="G852" s="108">
        <f t="shared" si="150"/>
        <v>6</v>
      </c>
      <c r="H852" s="108" t="str">
        <f t="shared" si="151"/>
        <v>완료</v>
      </c>
      <c r="I852" s="112" t="s">
        <v>218</v>
      </c>
      <c r="J852" s="4" t="s">
        <v>2336</v>
      </c>
      <c r="K852" s="5" t="s">
        <v>2337</v>
      </c>
      <c r="L852" s="6" t="str">
        <f t="shared" si="146"/>
        <v>2T2</v>
      </c>
      <c r="M852" s="13" t="s">
        <v>256</v>
      </c>
      <c r="N852" s="7" t="s">
        <v>3529</v>
      </c>
      <c r="O852" s="13" t="s">
        <v>482</v>
      </c>
      <c r="P852" s="115"/>
      <c r="Q852" s="8"/>
      <c r="R852" s="2">
        <v>1</v>
      </c>
      <c r="S852" s="9">
        <v>1600</v>
      </c>
      <c r="T852" s="10">
        <f t="shared" si="140"/>
        <v>800</v>
      </c>
      <c r="U852" s="9">
        <v>20</v>
      </c>
      <c r="V852" s="10">
        <f t="shared" si="141"/>
        <v>780</v>
      </c>
      <c r="W852" s="4" t="s">
        <v>249</v>
      </c>
      <c r="X852" s="2"/>
      <c r="Y852" s="11">
        <v>2</v>
      </c>
      <c r="Z852" s="12">
        <f t="shared" si="147"/>
        <v>0</v>
      </c>
      <c r="AA852" s="4" t="s">
        <v>2338</v>
      </c>
      <c r="AC852" s="176">
        <f t="shared" si="143"/>
        <v>1.8181818181818181E-2</v>
      </c>
      <c r="AD852"/>
    </row>
    <row r="853" spans="2:30">
      <c r="B853" s="183">
        <f t="shared" si="148"/>
        <v>25</v>
      </c>
      <c r="C853" s="107" t="str">
        <f t="shared" si="149"/>
        <v>ATK</v>
      </c>
      <c r="D853" s="2" t="s">
        <v>2339</v>
      </c>
      <c r="E853" s="3">
        <v>43999</v>
      </c>
      <c r="F853" s="3">
        <v>43999</v>
      </c>
      <c r="G853" s="108">
        <f t="shared" si="150"/>
        <v>6</v>
      </c>
      <c r="H853" s="108" t="str">
        <f t="shared" si="151"/>
        <v>완료</v>
      </c>
      <c r="I853" s="112" t="s">
        <v>218</v>
      </c>
      <c r="J853" s="4" t="s">
        <v>115</v>
      </c>
      <c r="K853" s="5" t="s">
        <v>138</v>
      </c>
      <c r="L853" s="6" t="str">
        <f t="shared" si="146"/>
        <v>EE1</v>
      </c>
      <c r="M853" s="13"/>
      <c r="N853" s="7" t="s">
        <v>3512</v>
      </c>
      <c r="O853" s="13" t="s">
        <v>284</v>
      </c>
      <c r="P853" s="115"/>
      <c r="Q853" s="8"/>
      <c r="R853" s="2">
        <v>2</v>
      </c>
      <c r="S853" s="9">
        <v>500</v>
      </c>
      <c r="T853" s="10">
        <f t="shared" si="140"/>
        <v>500</v>
      </c>
      <c r="U853" s="9">
        <v>10</v>
      </c>
      <c r="V853" s="10">
        <f t="shared" si="141"/>
        <v>490</v>
      </c>
      <c r="W853" s="4" t="s">
        <v>122</v>
      </c>
      <c r="X853" s="2"/>
      <c r="Y853" s="11">
        <v>5</v>
      </c>
      <c r="Z853" s="12">
        <f t="shared" si="147"/>
        <v>0</v>
      </c>
      <c r="AA853" s="4" t="s">
        <v>259</v>
      </c>
      <c r="AC853" s="176">
        <f t="shared" si="143"/>
        <v>9.0909090909090905E-3</v>
      </c>
      <c r="AD853"/>
    </row>
    <row r="854" spans="2:30">
      <c r="B854" s="183">
        <f t="shared" si="148"/>
        <v>25</v>
      </c>
      <c r="C854" s="107" t="str">
        <f t="shared" si="149"/>
        <v>ATK</v>
      </c>
      <c r="D854" s="2" t="s">
        <v>1244</v>
      </c>
      <c r="E854" s="3">
        <v>43999</v>
      </c>
      <c r="F854" s="3">
        <v>43999</v>
      </c>
      <c r="G854" s="108">
        <f t="shared" si="150"/>
        <v>6</v>
      </c>
      <c r="H854" s="108" t="str">
        <f t="shared" si="151"/>
        <v>완료</v>
      </c>
      <c r="I854" s="112" t="s">
        <v>218</v>
      </c>
      <c r="J854" s="4" t="s">
        <v>132</v>
      </c>
      <c r="K854" s="5" t="s">
        <v>138</v>
      </c>
      <c r="L854" s="6" t="str">
        <f t="shared" si="146"/>
        <v>EE1</v>
      </c>
      <c r="M854" s="13" t="s">
        <v>2340</v>
      </c>
      <c r="N854" s="7" t="s">
        <v>3838</v>
      </c>
      <c r="O854" s="13" t="s">
        <v>2341</v>
      </c>
      <c r="P854" s="115" t="s">
        <v>2342</v>
      </c>
      <c r="Q854" s="8"/>
      <c r="R854" s="2">
        <v>1</v>
      </c>
      <c r="S854" s="9">
        <v>8000</v>
      </c>
      <c r="T854" s="10">
        <f t="shared" si="140"/>
        <v>4000</v>
      </c>
      <c r="U854" s="9"/>
      <c r="V854" s="10">
        <f t="shared" si="141"/>
        <v>4000</v>
      </c>
      <c r="W854" s="4" t="s">
        <v>122</v>
      </c>
      <c r="X854" s="2"/>
      <c r="Y854" s="11">
        <v>3</v>
      </c>
      <c r="Z854" s="12">
        <f t="shared" si="147"/>
        <v>0</v>
      </c>
      <c r="AA854" s="4" t="s">
        <v>212</v>
      </c>
      <c r="AC854" s="176">
        <f t="shared" si="143"/>
        <v>0</v>
      </c>
      <c r="AD854"/>
    </row>
    <row r="855" spans="2:30">
      <c r="B855" s="183">
        <f t="shared" si="148"/>
        <v>26</v>
      </c>
      <c r="C855" s="107" t="str">
        <f t="shared" si="149"/>
        <v>ATK</v>
      </c>
      <c r="D855" s="2" t="s">
        <v>2343</v>
      </c>
      <c r="E855" s="3">
        <v>43999</v>
      </c>
      <c r="F855" s="3">
        <v>44004</v>
      </c>
      <c r="G855" s="108">
        <f t="shared" si="150"/>
        <v>6</v>
      </c>
      <c r="H855" s="108" t="str">
        <f t="shared" si="151"/>
        <v>완료</v>
      </c>
      <c r="I855" s="112" t="s">
        <v>218</v>
      </c>
      <c r="J855" s="4" t="s">
        <v>115</v>
      </c>
      <c r="K855" s="5" t="s">
        <v>116</v>
      </c>
      <c r="L855" s="6" t="str">
        <f t="shared" si="146"/>
        <v>EE2</v>
      </c>
      <c r="M855" s="13" t="s">
        <v>2364</v>
      </c>
      <c r="N855" s="7" t="s">
        <v>3839</v>
      </c>
      <c r="O855" s="13" t="s">
        <v>1032</v>
      </c>
      <c r="P855" s="115" t="s">
        <v>2365</v>
      </c>
      <c r="Q855" s="8"/>
      <c r="R855" s="2">
        <v>1</v>
      </c>
      <c r="S855" s="9">
        <v>4000</v>
      </c>
      <c r="T855" s="10">
        <f t="shared" si="140"/>
        <v>2000</v>
      </c>
      <c r="U855" s="9">
        <v>24</v>
      </c>
      <c r="V855" s="10">
        <f t="shared" si="141"/>
        <v>1976</v>
      </c>
      <c r="W855" s="4" t="s">
        <v>122</v>
      </c>
      <c r="X855" s="2"/>
      <c r="Y855" s="11">
        <v>6</v>
      </c>
      <c r="Z855" s="12">
        <f t="shared" si="147"/>
        <v>5</v>
      </c>
      <c r="AA855" s="4" t="s">
        <v>212</v>
      </c>
      <c r="AC855" s="176">
        <f t="shared" si="143"/>
        <v>2.181818181818182E-2</v>
      </c>
      <c r="AD855"/>
    </row>
    <row r="856" spans="2:30">
      <c r="B856" s="183">
        <f t="shared" si="148"/>
        <v>25</v>
      </c>
      <c r="C856" s="107" t="str">
        <f t="shared" si="149"/>
        <v>ATK</v>
      </c>
      <c r="D856" s="2" t="s">
        <v>2344</v>
      </c>
      <c r="E856" s="3">
        <v>43999</v>
      </c>
      <c r="F856" s="3">
        <v>43999</v>
      </c>
      <c r="G856" s="108">
        <f t="shared" si="150"/>
        <v>6</v>
      </c>
      <c r="H856" s="108" t="str">
        <f t="shared" si="151"/>
        <v>완료</v>
      </c>
      <c r="I856" s="112" t="s">
        <v>218</v>
      </c>
      <c r="J856" s="4" t="s">
        <v>132</v>
      </c>
      <c r="K856" s="5" t="s">
        <v>322</v>
      </c>
      <c r="L856" s="6" t="str">
        <f t="shared" si="146"/>
        <v>3T1</v>
      </c>
      <c r="M856" s="13" t="s">
        <v>1894</v>
      </c>
      <c r="N856" s="7" t="s">
        <v>3840</v>
      </c>
      <c r="O856" s="7" t="s">
        <v>2361</v>
      </c>
      <c r="P856" s="115" t="s">
        <v>2363</v>
      </c>
      <c r="Q856" s="8"/>
      <c r="R856" s="2">
        <v>1</v>
      </c>
      <c r="S856" s="9">
        <v>8000</v>
      </c>
      <c r="T856" s="10">
        <f t="shared" si="140"/>
        <v>4000</v>
      </c>
      <c r="U856" s="9"/>
      <c r="V856" s="10">
        <f t="shared" si="141"/>
        <v>4000</v>
      </c>
      <c r="W856" s="4" t="s">
        <v>122</v>
      </c>
      <c r="X856" s="2"/>
      <c r="Y856" s="11">
        <v>3</v>
      </c>
      <c r="Z856" s="12">
        <f t="shared" si="147"/>
        <v>0</v>
      </c>
      <c r="AA856" s="4" t="s">
        <v>212</v>
      </c>
      <c r="AC856" s="176">
        <f t="shared" si="143"/>
        <v>0</v>
      </c>
      <c r="AD856"/>
    </row>
    <row r="857" spans="2:30">
      <c r="B857" s="183">
        <f t="shared" si="148"/>
        <v>25</v>
      </c>
      <c r="C857" s="107" t="str">
        <f t="shared" si="149"/>
        <v>ATK</v>
      </c>
      <c r="D857" s="2" t="s">
        <v>1555</v>
      </c>
      <c r="E857" s="3">
        <v>43999</v>
      </c>
      <c r="F857" s="3">
        <v>43999</v>
      </c>
      <c r="G857" s="108">
        <f t="shared" si="150"/>
        <v>6</v>
      </c>
      <c r="H857" s="108" t="str">
        <f t="shared" si="151"/>
        <v>완료</v>
      </c>
      <c r="I857" s="112" t="s">
        <v>218</v>
      </c>
      <c r="J857" s="4" t="s">
        <v>139</v>
      </c>
      <c r="K857" s="5" t="s">
        <v>851</v>
      </c>
      <c r="L857" s="6" t="str">
        <f t="shared" si="146"/>
        <v>6T1</v>
      </c>
      <c r="M857" s="13" t="s">
        <v>1558</v>
      </c>
      <c r="N857" s="7" t="s">
        <v>3835</v>
      </c>
      <c r="O857" s="13" t="s">
        <v>284</v>
      </c>
      <c r="P857" s="115" t="s">
        <v>2345</v>
      </c>
      <c r="Q857" s="8"/>
      <c r="R857" s="2">
        <v>1</v>
      </c>
      <c r="S857" s="9">
        <v>1000</v>
      </c>
      <c r="T857" s="10">
        <f t="shared" ref="T857" si="152">(S857*50)/100*R857</f>
        <v>500</v>
      </c>
      <c r="U857" s="9">
        <v>0</v>
      </c>
      <c r="V857" s="10">
        <f t="shared" ref="V857" si="153">T857-U857</f>
        <v>500</v>
      </c>
      <c r="W857" s="4" t="s">
        <v>122</v>
      </c>
      <c r="X857" s="2"/>
      <c r="Y857" s="11">
        <v>2</v>
      </c>
      <c r="Z857" s="12">
        <f t="shared" si="147"/>
        <v>0</v>
      </c>
      <c r="AA857" s="4" t="s">
        <v>212</v>
      </c>
      <c r="AC857" s="176">
        <f t="shared" ref="AC857" si="154">U857/1100</f>
        <v>0</v>
      </c>
      <c r="AD857"/>
    </row>
    <row r="858" spans="2:30">
      <c r="B858" s="183">
        <f t="shared" si="148"/>
        <v>25</v>
      </c>
      <c r="C858" s="107" t="str">
        <f t="shared" si="149"/>
        <v>ATK</v>
      </c>
      <c r="D858" s="2" t="s">
        <v>2346</v>
      </c>
      <c r="E858" s="3">
        <v>43983</v>
      </c>
      <c r="F858" s="3">
        <v>44000</v>
      </c>
      <c r="G858" s="108">
        <f t="shared" si="150"/>
        <v>6</v>
      </c>
      <c r="H858" s="108" t="str">
        <f t="shared" si="151"/>
        <v>완료</v>
      </c>
      <c r="I858" s="112" t="s">
        <v>2347</v>
      </c>
      <c r="J858" s="4" t="s">
        <v>2349</v>
      </c>
      <c r="K858" s="5" t="s">
        <v>2348</v>
      </c>
      <c r="L858" s="6" t="str">
        <f t="shared" si="146"/>
        <v>EE1</v>
      </c>
      <c r="M858" s="13" t="s">
        <v>2350</v>
      </c>
      <c r="N858" s="7" t="s">
        <v>3841</v>
      </c>
      <c r="O858" s="13" t="s">
        <v>339</v>
      </c>
      <c r="P858" s="115" t="s">
        <v>2351</v>
      </c>
      <c r="Q858" s="8"/>
      <c r="R858" s="2">
        <v>1</v>
      </c>
      <c r="S858" s="9">
        <v>660</v>
      </c>
      <c r="T858" s="10">
        <f t="shared" si="140"/>
        <v>330</v>
      </c>
      <c r="U858" s="9">
        <v>5</v>
      </c>
      <c r="V858" s="10">
        <f t="shared" si="141"/>
        <v>325</v>
      </c>
      <c r="W858" s="4" t="s">
        <v>2352</v>
      </c>
      <c r="X858" s="2"/>
      <c r="Y858" s="11">
        <v>2</v>
      </c>
      <c r="Z858" s="12">
        <f t="shared" si="147"/>
        <v>17</v>
      </c>
      <c r="AA858" s="4" t="s">
        <v>2353</v>
      </c>
      <c r="AC858" s="176">
        <f t="shared" si="143"/>
        <v>4.5454545454545452E-3</v>
      </c>
      <c r="AD858"/>
    </row>
    <row r="859" spans="2:30">
      <c r="B859" s="183">
        <f t="shared" si="148"/>
        <v>25</v>
      </c>
      <c r="C859" s="107" t="str">
        <f t="shared" si="149"/>
        <v>ATK</v>
      </c>
      <c r="D859" s="2" t="s">
        <v>2354</v>
      </c>
      <c r="E859" s="3">
        <v>44000</v>
      </c>
      <c r="F859" s="3">
        <v>44000</v>
      </c>
      <c r="G859" s="108">
        <f t="shared" si="150"/>
        <v>6</v>
      </c>
      <c r="H859" s="108" t="str">
        <f t="shared" si="151"/>
        <v>완료</v>
      </c>
      <c r="I859" s="112" t="s">
        <v>2228</v>
      </c>
      <c r="J859" s="4" t="s">
        <v>2355</v>
      </c>
      <c r="K859" s="5" t="s">
        <v>2356</v>
      </c>
      <c r="L859" s="6" t="str">
        <f t="shared" si="146"/>
        <v>Bum</v>
      </c>
      <c r="M859" s="13" t="s">
        <v>2357</v>
      </c>
      <c r="N859" s="7" t="s">
        <v>3842</v>
      </c>
      <c r="O859" s="13" t="s">
        <v>2357</v>
      </c>
      <c r="P859" s="115" t="s">
        <v>2358</v>
      </c>
      <c r="Q859" s="8"/>
      <c r="R859" s="2">
        <v>1</v>
      </c>
      <c r="S859" s="9">
        <v>500</v>
      </c>
      <c r="T859" s="10">
        <f t="shared" si="140"/>
        <v>250</v>
      </c>
      <c r="U859" s="9">
        <v>0</v>
      </c>
      <c r="V859" s="10">
        <f t="shared" si="141"/>
        <v>250</v>
      </c>
      <c r="W859" s="4" t="s">
        <v>2352</v>
      </c>
      <c r="X859" s="2"/>
      <c r="Y859" s="11">
        <v>2</v>
      </c>
      <c r="Z859" s="12">
        <f t="shared" si="147"/>
        <v>0</v>
      </c>
      <c r="AA859" s="4" t="s">
        <v>2353</v>
      </c>
      <c r="AC859" s="176">
        <f t="shared" si="143"/>
        <v>0</v>
      </c>
      <c r="AD859"/>
    </row>
    <row r="860" spans="2:30">
      <c r="B860" s="183">
        <f t="shared" si="148"/>
        <v>25</v>
      </c>
      <c r="C860" s="107" t="str">
        <f t="shared" si="149"/>
        <v>ATK</v>
      </c>
      <c r="D860" s="2" t="s">
        <v>2359</v>
      </c>
      <c r="E860" s="3">
        <v>44000</v>
      </c>
      <c r="F860" s="3">
        <v>44000</v>
      </c>
      <c r="G860" s="108">
        <f t="shared" si="150"/>
        <v>6</v>
      </c>
      <c r="H860" s="108" t="str">
        <f t="shared" si="151"/>
        <v>완료</v>
      </c>
      <c r="I860" s="112" t="s">
        <v>218</v>
      </c>
      <c r="J860" s="4" t="s">
        <v>243</v>
      </c>
      <c r="K860" s="5" t="s">
        <v>177</v>
      </c>
      <c r="L860" s="6" t="str">
        <f t="shared" si="146"/>
        <v>Bum</v>
      </c>
      <c r="M860" s="13" t="s">
        <v>2360</v>
      </c>
      <c r="N860" s="7" t="s">
        <v>3843</v>
      </c>
      <c r="O860" s="13"/>
      <c r="P860" s="115"/>
      <c r="Q860" s="8"/>
      <c r="R860" s="2">
        <v>1</v>
      </c>
      <c r="S860" s="9">
        <v>4700</v>
      </c>
      <c r="T860" s="10">
        <f t="shared" si="140"/>
        <v>2350</v>
      </c>
      <c r="U860" s="9">
        <v>8</v>
      </c>
      <c r="V860" s="10">
        <f t="shared" si="141"/>
        <v>2342</v>
      </c>
      <c r="W860" s="4" t="s">
        <v>122</v>
      </c>
      <c r="X860" s="2"/>
      <c r="Y860" s="11">
        <v>3</v>
      </c>
      <c r="Z860" s="12">
        <f t="shared" si="147"/>
        <v>0</v>
      </c>
      <c r="AA860" s="4" t="s">
        <v>117</v>
      </c>
      <c r="AC860" s="176">
        <f t="shared" si="143"/>
        <v>7.2727272727272727E-3</v>
      </c>
      <c r="AD860"/>
    </row>
    <row r="861" spans="2:30">
      <c r="B861" s="183">
        <f t="shared" si="148"/>
        <v>25</v>
      </c>
      <c r="C861" s="107" t="str">
        <f t="shared" si="149"/>
        <v>ATK</v>
      </c>
      <c r="D861" s="2" t="s">
        <v>1333</v>
      </c>
      <c r="E861" s="3">
        <v>44000</v>
      </c>
      <c r="F861" s="3">
        <v>44000</v>
      </c>
      <c r="G861" s="108">
        <f t="shared" si="150"/>
        <v>6</v>
      </c>
      <c r="H861" s="108" t="str">
        <f t="shared" si="151"/>
        <v>완료</v>
      </c>
      <c r="I861" s="112" t="s">
        <v>218</v>
      </c>
      <c r="J861" s="4" t="s">
        <v>132</v>
      </c>
      <c r="K861" s="5" t="s">
        <v>322</v>
      </c>
      <c r="L861" s="6" t="str">
        <f t="shared" si="146"/>
        <v>3T1</v>
      </c>
      <c r="M861" s="13" t="s">
        <v>1894</v>
      </c>
      <c r="N861" s="7" t="s">
        <v>3840</v>
      </c>
      <c r="O861" s="7" t="s">
        <v>2361</v>
      </c>
      <c r="P861" s="115" t="s">
        <v>2362</v>
      </c>
      <c r="Q861" s="8"/>
      <c r="R861" s="2">
        <v>1</v>
      </c>
      <c r="S861" s="9">
        <v>8000</v>
      </c>
      <c r="T861" s="10">
        <f t="shared" ref="T861:T862" si="155">(S861*50)/100*R861</f>
        <v>4000</v>
      </c>
      <c r="U861" s="9">
        <v>0</v>
      </c>
      <c r="V861" s="10">
        <f t="shared" ref="V861:V862" si="156">T861-U861</f>
        <v>4000</v>
      </c>
      <c r="W861" s="4" t="s">
        <v>122</v>
      </c>
      <c r="X861" s="2"/>
      <c r="Y861" s="11">
        <v>4</v>
      </c>
      <c r="Z861" s="12">
        <f t="shared" si="147"/>
        <v>0</v>
      </c>
      <c r="AA861" s="4" t="s">
        <v>212</v>
      </c>
      <c r="AC861" s="176">
        <f t="shared" ref="AC861" si="157">U861/1100</f>
        <v>0</v>
      </c>
      <c r="AD861"/>
    </row>
    <row r="862" spans="2:30">
      <c r="B862" s="183">
        <f t="shared" si="148"/>
        <v>29</v>
      </c>
      <c r="C862" s="107" t="str">
        <f t="shared" si="149"/>
        <v>ATK</v>
      </c>
      <c r="D862" s="2" t="s">
        <v>706</v>
      </c>
      <c r="E862" s="3">
        <v>44000</v>
      </c>
      <c r="F862" s="3">
        <v>44027</v>
      </c>
      <c r="G862" s="108">
        <f t="shared" si="150"/>
        <v>7</v>
      </c>
      <c r="H862" s="108" t="str">
        <f t="shared" si="151"/>
        <v>완료</v>
      </c>
      <c r="I862" s="112" t="s">
        <v>514</v>
      </c>
      <c r="J862" s="4" t="s">
        <v>132</v>
      </c>
      <c r="K862" s="5" t="s">
        <v>322</v>
      </c>
      <c r="L862" s="6" t="str">
        <f t="shared" si="146"/>
        <v>3T1</v>
      </c>
      <c r="M862" s="13" t="s">
        <v>1240</v>
      </c>
      <c r="N862" s="7" t="s">
        <v>3478</v>
      </c>
      <c r="O862" s="13" t="s">
        <v>1654</v>
      </c>
      <c r="P862" s="115"/>
      <c r="Q862" s="8"/>
      <c r="R862" s="2">
        <v>1</v>
      </c>
      <c r="S862" s="9">
        <v>8000</v>
      </c>
      <c r="T862" s="10">
        <f t="shared" si="155"/>
        <v>4000</v>
      </c>
      <c r="U862" s="9">
        <v>900</v>
      </c>
      <c r="V862" s="10">
        <f t="shared" si="156"/>
        <v>3100</v>
      </c>
      <c r="W862" s="4" t="s">
        <v>123</v>
      </c>
      <c r="X862" s="2" t="s">
        <v>124</v>
      </c>
      <c r="Y862" s="11">
        <v>3</v>
      </c>
      <c r="Z862" s="12">
        <f t="shared" si="147"/>
        <v>27</v>
      </c>
      <c r="AA862" s="4" t="s">
        <v>117</v>
      </c>
      <c r="AC862" s="176">
        <f t="shared" si="143"/>
        <v>0.81818181818181823</v>
      </c>
      <c r="AD862"/>
    </row>
    <row r="863" spans="2:30">
      <c r="B863" s="183">
        <f t="shared" si="148"/>
        <v>25</v>
      </c>
      <c r="C863" s="107" t="str">
        <f t="shared" si="149"/>
        <v>ATK</v>
      </c>
      <c r="D863" s="2" t="s">
        <v>2366</v>
      </c>
      <c r="E863" s="3">
        <v>44000</v>
      </c>
      <c r="F863" s="3">
        <v>44000</v>
      </c>
      <c r="G863" s="108">
        <f t="shared" si="150"/>
        <v>6</v>
      </c>
      <c r="H863" s="108" t="str">
        <f t="shared" si="151"/>
        <v>완료</v>
      </c>
      <c r="I863" s="112" t="s">
        <v>218</v>
      </c>
      <c r="J863" s="4" t="s">
        <v>132</v>
      </c>
      <c r="K863" s="5" t="s">
        <v>133</v>
      </c>
      <c r="L863" s="6" t="str">
        <f t="shared" si="146"/>
        <v>3T3</v>
      </c>
      <c r="M863" s="13" t="s">
        <v>1600</v>
      </c>
      <c r="N863" s="7" t="s">
        <v>3546</v>
      </c>
      <c r="O863" s="13" t="s">
        <v>2367</v>
      </c>
      <c r="P863" s="115"/>
      <c r="Q863" s="8"/>
      <c r="R863" s="2">
        <v>2</v>
      </c>
      <c r="S863" s="9">
        <v>500</v>
      </c>
      <c r="T863" s="10">
        <f t="shared" si="140"/>
        <v>500</v>
      </c>
      <c r="U863" s="9">
        <v>4</v>
      </c>
      <c r="V863" s="10">
        <f t="shared" si="141"/>
        <v>496</v>
      </c>
      <c r="W863" s="4" t="s">
        <v>122</v>
      </c>
      <c r="X863" s="2"/>
      <c r="Y863" s="11">
        <v>1</v>
      </c>
      <c r="Z863" s="12">
        <f t="shared" si="147"/>
        <v>0</v>
      </c>
      <c r="AA863" s="4" t="s">
        <v>117</v>
      </c>
      <c r="AC863" s="176">
        <f t="shared" si="143"/>
        <v>3.6363636363636364E-3</v>
      </c>
      <c r="AD863"/>
    </row>
    <row r="864" spans="2:30">
      <c r="B864" s="183">
        <f t="shared" si="148"/>
        <v>25</v>
      </c>
      <c r="C864" s="107" t="str">
        <f t="shared" si="149"/>
        <v>ATK</v>
      </c>
      <c r="D864" s="2" t="s">
        <v>2368</v>
      </c>
      <c r="E864" s="3">
        <v>43997</v>
      </c>
      <c r="F864" s="3">
        <v>44000</v>
      </c>
      <c r="G864" s="108">
        <f t="shared" si="150"/>
        <v>6</v>
      </c>
      <c r="H864" s="108" t="str">
        <f t="shared" si="151"/>
        <v>완료</v>
      </c>
      <c r="I864" s="112" t="s">
        <v>218</v>
      </c>
      <c r="J864" s="4" t="s">
        <v>127</v>
      </c>
      <c r="K864" s="5" t="s">
        <v>135</v>
      </c>
      <c r="L864" s="6" t="str">
        <f t="shared" si="146"/>
        <v>1T3</v>
      </c>
      <c r="M864" s="13" t="s">
        <v>256</v>
      </c>
      <c r="N864" s="7" t="s">
        <v>3594</v>
      </c>
      <c r="O864" s="13" t="s">
        <v>482</v>
      </c>
      <c r="P864" s="115" t="s">
        <v>2369</v>
      </c>
      <c r="Q864" s="8"/>
      <c r="R864" s="2">
        <v>1</v>
      </c>
      <c r="S864" s="9">
        <v>1600</v>
      </c>
      <c r="T864" s="10">
        <f t="shared" ref="T864" si="158">(S864*50)/100*R864</f>
        <v>800</v>
      </c>
      <c r="U864" s="9">
        <v>20</v>
      </c>
      <c r="V864" s="10">
        <f t="shared" ref="V864" si="159">T864-U864</f>
        <v>780</v>
      </c>
      <c r="W864" s="4" t="s">
        <v>249</v>
      </c>
      <c r="X864" s="2"/>
      <c r="Y864" s="11">
        <v>2</v>
      </c>
      <c r="Z864" s="12">
        <f t="shared" si="147"/>
        <v>3</v>
      </c>
      <c r="AA864" s="4" t="s">
        <v>27</v>
      </c>
      <c r="AC864" s="176">
        <f t="shared" si="143"/>
        <v>1.8181818181818181E-2</v>
      </c>
      <c r="AD864"/>
    </row>
    <row r="865" spans="2:30">
      <c r="B865" s="183">
        <f t="shared" si="148"/>
        <v>25</v>
      </c>
      <c r="C865" s="107" t="str">
        <f t="shared" si="149"/>
        <v>ATK</v>
      </c>
      <c r="D865" s="2" t="s">
        <v>2368</v>
      </c>
      <c r="E865" s="3">
        <v>43997</v>
      </c>
      <c r="F865" s="3">
        <v>44000</v>
      </c>
      <c r="G865" s="108">
        <f t="shared" si="150"/>
        <v>6</v>
      </c>
      <c r="H865" s="108" t="str">
        <f t="shared" si="151"/>
        <v>완료</v>
      </c>
      <c r="I865" s="112" t="s">
        <v>218</v>
      </c>
      <c r="J865" s="4" t="s">
        <v>127</v>
      </c>
      <c r="K865" s="5" t="s">
        <v>135</v>
      </c>
      <c r="L865" s="6" t="str">
        <f t="shared" si="146"/>
        <v>1T3</v>
      </c>
      <c r="M865" s="13" t="s">
        <v>256</v>
      </c>
      <c r="N865" s="7" t="s">
        <v>3529</v>
      </c>
      <c r="O865" s="7" t="s">
        <v>958</v>
      </c>
      <c r="P865" s="115"/>
      <c r="Q865" s="8"/>
      <c r="R865" s="2">
        <v>1</v>
      </c>
      <c r="S865" s="9">
        <v>600</v>
      </c>
      <c r="T865" s="10">
        <f t="shared" si="140"/>
        <v>300</v>
      </c>
      <c r="U865" s="9">
        <v>20</v>
      </c>
      <c r="V865" s="10">
        <f t="shared" si="141"/>
        <v>280</v>
      </c>
      <c r="W865" s="4" t="s">
        <v>249</v>
      </c>
      <c r="X865" s="2"/>
      <c r="Y865" s="11">
        <v>4</v>
      </c>
      <c r="Z865" s="12">
        <f t="shared" si="147"/>
        <v>3</v>
      </c>
      <c r="AA865" s="4" t="s">
        <v>27</v>
      </c>
      <c r="AC865" s="176">
        <f t="shared" si="143"/>
        <v>1.8181818181818181E-2</v>
      </c>
      <c r="AD865"/>
    </row>
    <row r="866" spans="2:30">
      <c r="B866" s="183">
        <f t="shared" si="148"/>
        <v>25</v>
      </c>
      <c r="C866" s="107" t="str">
        <f t="shared" si="149"/>
        <v>ATK</v>
      </c>
      <c r="D866" s="2" t="s">
        <v>1393</v>
      </c>
      <c r="E866" s="3">
        <v>44000</v>
      </c>
      <c r="F866" s="3">
        <v>44001</v>
      </c>
      <c r="G866" s="108">
        <f t="shared" si="150"/>
        <v>6</v>
      </c>
      <c r="H866" s="108" t="str">
        <f t="shared" si="151"/>
        <v>완료</v>
      </c>
      <c r="I866" s="112" t="s">
        <v>2370</v>
      </c>
      <c r="J866" s="4" t="s">
        <v>481</v>
      </c>
      <c r="K866" s="5" t="s">
        <v>1389</v>
      </c>
      <c r="L866" s="6" t="str">
        <f t="shared" si="146"/>
        <v>2T1</v>
      </c>
      <c r="M866" s="13" t="s">
        <v>2241</v>
      </c>
      <c r="N866" s="7" t="s">
        <v>3560</v>
      </c>
      <c r="O866" s="7" t="s">
        <v>2241</v>
      </c>
      <c r="P866" s="115" t="s">
        <v>2243</v>
      </c>
      <c r="Q866" s="8"/>
      <c r="R866" s="2">
        <v>3</v>
      </c>
      <c r="S866" s="9">
        <v>910</v>
      </c>
      <c r="T866" s="10">
        <f t="shared" si="140"/>
        <v>1365</v>
      </c>
      <c r="U866" s="9">
        <v>100</v>
      </c>
      <c r="V866" s="10">
        <f t="shared" ref="V866" si="160">T866-U866</f>
        <v>1265</v>
      </c>
      <c r="W866" s="4" t="s">
        <v>249</v>
      </c>
      <c r="X866" s="2"/>
      <c r="Y866" s="11">
        <v>6</v>
      </c>
      <c r="Z866" s="12">
        <f t="shared" si="147"/>
        <v>1</v>
      </c>
      <c r="AA866" s="4" t="s">
        <v>174</v>
      </c>
      <c r="AC866" s="176">
        <f t="shared" si="143"/>
        <v>9.0909090909090912E-2</v>
      </c>
      <c r="AD866"/>
    </row>
    <row r="867" spans="2:30">
      <c r="B867" s="183">
        <f t="shared" si="148"/>
        <v>25</v>
      </c>
      <c r="C867" s="107" t="str">
        <f t="shared" si="149"/>
        <v>ATK</v>
      </c>
      <c r="D867" s="2" t="s">
        <v>2371</v>
      </c>
      <c r="E867" s="3">
        <v>44001</v>
      </c>
      <c r="F867" s="3">
        <v>44001</v>
      </c>
      <c r="G867" s="108">
        <f t="shared" si="150"/>
        <v>6</v>
      </c>
      <c r="H867" s="108" t="str">
        <f t="shared" si="151"/>
        <v>완료</v>
      </c>
      <c r="I867" s="112" t="s">
        <v>218</v>
      </c>
      <c r="J867" s="4" t="s">
        <v>127</v>
      </c>
      <c r="K867" s="5" t="s">
        <v>131</v>
      </c>
      <c r="L867" s="6" t="str">
        <f t="shared" si="146"/>
        <v>1T4</v>
      </c>
      <c r="M867" s="13" t="s">
        <v>1144</v>
      </c>
      <c r="N867" s="7" t="s">
        <v>3844</v>
      </c>
      <c r="O867" s="13" t="s">
        <v>1256</v>
      </c>
      <c r="P867" s="115" t="s">
        <v>2372</v>
      </c>
      <c r="Q867" s="8"/>
      <c r="R867" s="2">
        <v>1</v>
      </c>
      <c r="S867" s="9">
        <v>300</v>
      </c>
      <c r="T867" s="10">
        <f t="shared" si="140"/>
        <v>150</v>
      </c>
      <c r="U867" s="9">
        <v>1</v>
      </c>
      <c r="V867" s="10">
        <f t="shared" si="141"/>
        <v>149</v>
      </c>
      <c r="W867" s="4" t="s">
        <v>122</v>
      </c>
      <c r="X867" s="2"/>
      <c r="Y867" s="11">
        <v>2</v>
      </c>
      <c r="Z867" s="12">
        <f t="shared" si="147"/>
        <v>0</v>
      </c>
      <c r="AA867" s="4" t="s">
        <v>120</v>
      </c>
      <c r="AC867" s="176">
        <f t="shared" si="143"/>
        <v>9.0909090909090909E-4</v>
      </c>
      <c r="AD867"/>
    </row>
    <row r="868" spans="2:30">
      <c r="B868" s="183">
        <f t="shared" si="148"/>
        <v>25</v>
      </c>
      <c r="C868" s="107" t="str">
        <f t="shared" si="149"/>
        <v>ATK</v>
      </c>
      <c r="D868" s="2" t="s">
        <v>2373</v>
      </c>
      <c r="E868" s="3">
        <v>44000</v>
      </c>
      <c r="F868" s="3">
        <v>44001</v>
      </c>
      <c r="G868" s="108">
        <f t="shared" si="150"/>
        <v>6</v>
      </c>
      <c r="H868" s="108" t="str">
        <f t="shared" si="151"/>
        <v>완료</v>
      </c>
      <c r="I868" s="112" t="s">
        <v>218</v>
      </c>
      <c r="J868" s="4" t="s">
        <v>132</v>
      </c>
      <c r="K868" s="5" t="s">
        <v>133</v>
      </c>
      <c r="L868" s="6" t="str">
        <f t="shared" si="146"/>
        <v>3T3</v>
      </c>
      <c r="M868" s="13" t="s">
        <v>1600</v>
      </c>
      <c r="N868" s="7" t="s">
        <v>3845</v>
      </c>
      <c r="O868" s="13" t="s">
        <v>2374</v>
      </c>
      <c r="P868" s="115" t="s">
        <v>2375</v>
      </c>
      <c r="Q868" s="8"/>
      <c r="R868" s="2">
        <v>1</v>
      </c>
      <c r="S868" s="9">
        <v>300</v>
      </c>
      <c r="T868" s="10">
        <f t="shared" si="140"/>
        <v>150</v>
      </c>
      <c r="U868" s="9">
        <v>1</v>
      </c>
      <c r="V868" s="10">
        <f t="shared" si="141"/>
        <v>149</v>
      </c>
      <c r="W868" s="4" t="s">
        <v>122</v>
      </c>
      <c r="X868" s="2"/>
      <c r="Y868" s="11">
        <v>2</v>
      </c>
      <c r="Z868" s="12">
        <f t="shared" si="147"/>
        <v>1</v>
      </c>
      <c r="AA868" s="4" t="s">
        <v>120</v>
      </c>
      <c r="AC868" s="176">
        <f t="shared" si="143"/>
        <v>9.0909090909090909E-4</v>
      </c>
      <c r="AD868"/>
    </row>
    <row r="869" spans="2:30">
      <c r="B869" s="183">
        <f t="shared" si="148"/>
        <v>25</v>
      </c>
      <c r="C869" s="107" t="str">
        <f t="shared" si="149"/>
        <v>ATK</v>
      </c>
      <c r="D869" s="2" t="s">
        <v>2376</v>
      </c>
      <c r="E869" s="3">
        <v>44001</v>
      </c>
      <c r="F869" s="3">
        <v>44001</v>
      </c>
      <c r="G869" s="108">
        <f t="shared" si="150"/>
        <v>6</v>
      </c>
      <c r="H869" s="108" t="str">
        <f t="shared" si="151"/>
        <v>완료</v>
      </c>
      <c r="I869" s="112" t="s">
        <v>218</v>
      </c>
      <c r="J869" s="4" t="s">
        <v>127</v>
      </c>
      <c r="K869" s="5" t="s">
        <v>131</v>
      </c>
      <c r="L869" s="6" t="str">
        <f t="shared" si="146"/>
        <v>1T4</v>
      </c>
      <c r="M869" s="13" t="s">
        <v>2377</v>
      </c>
      <c r="N869" s="7" t="s">
        <v>3846</v>
      </c>
      <c r="O869" s="13" t="s">
        <v>2378</v>
      </c>
      <c r="P869" s="115" t="s">
        <v>2379</v>
      </c>
      <c r="Q869" s="8" t="s">
        <v>2380</v>
      </c>
      <c r="R869" s="2">
        <v>1</v>
      </c>
      <c r="S869" s="9">
        <v>12000</v>
      </c>
      <c r="T869" s="10">
        <f t="shared" si="140"/>
        <v>6000</v>
      </c>
      <c r="U869" s="9">
        <v>1</v>
      </c>
      <c r="V869" s="10">
        <f t="shared" si="141"/>
        <v>5999</v>
      </c>
      <c r="W869" s="4" t="s">
        <v>122</v>
      </c>
      <c r="X869" s="2"/>
      <c r="Y869" s="11">
        <v>2</v>
      </c>
      <c r="Z869" s="12">
        <f t="shared" si="147"/>
        <v>0</v>
      </c>
      <c r="AA869" s="4" t="s">
        <v>120</v>
      </c>
      <c r="AC869" s="176">
        <f t="shared" si="143"/>
        <v>9.0909090909090909E-4</v>
      </c>
      <c r="AD869"/>
    </row>
    <row r="870" spans="2:30">
      <c r="B870" s="183">
        <f t="shared" si="148"/>
        <v>25</v>
      </c>
      <c r="C870" s="107" t="str">
        <f t="shared" si="149"/>
        <v>ATK</v>
      </c>
      <c r="D870" s="2" t="s">
        <v>2381</v>
      </c>
      <c r="E870" s="3">
        <v>44001</v>
      </c>
      <c r="F870" s="3">
        <v>44001</v>
      </c>
      <c r="G870" s="108">
        <f t="shared" si="150"/>
        <v>6</v>
      </c>
      <c r="H870" s="108" t="str">
        <f t="shared" si="151"/>
        <v>완료</v>
      </c>
      <c r="I870" s="112" t="s">
        <v>218</v>
      </c>
      <c r="J870" s="4" t="s">
        <v>132</v>
      </c>
      <c r="K870" s="5" t="s">
        <v>133</v>
      </c>
      <c r="L870" s="6" t="str">
        <f t="shared" si="146"/>
        <v>3T3</v>
      </c>
      <c r="M870" s="13" t="s">
        <v>1600</v>
      </c>
      <c r="N870" s="7" t="s">
        <v>3845</v>
      </c>
      <c r="O870" s="13" t="s">
        <v>2374</v>
      </c>
      <c r="P870" s="115" t="s">
        <v>2375</v>
      </c>
      <c r="Q870" s="8"/>
      <c r="R870" s="2">
        <v>1</v>
      </c>
      <c r="S870" s="9">
        <v>300</v>
      </c>
      <c r="T870" s="10">
        <f t="shared" si="140"/>
        <v>150</v>
      </c>
      <c r="U870" s="9">
        <v>1</v>
      </c>
      <c r="V870" s="10">
        <f t="shared" si="141"/>
        <v>149</v>
      </c>
      <c r="W870" s="4" t="s">
        <v>122</v>
      </c>
      <c r="X870" s="2"/>
      <c r="Y870" s="11">
        <v>1</v>
      </c>
      <c r="Z870" s="12">
        <f t="shared" si="147"/>
        <v>0</v>
      </c>
      <c r="AA870" s="4" t="s">
        <v>120</v>
      </c>
      <c r="AC870" s="176">
        <f t="shared" si="143"/>
        <v>9.0909090909090909E-4</v>
      </c>
      <c r="AD870"/>
    </row>
    <row r="871" spans="2:30">
      <c r="B871" s="183">
        <f t="shared" si="148"/>
        <v>33</v>
      </c>
      <c r="C871" s="107" t="str">
        <f t="shared" si="149"/>
        <v>ATK</v>
      </c>
      <c r="D871" s="2" t="s">
        <v>2382</v>
      </c>
      <c r="E871" s="3">
        <v>44001</v>
      </c>
      <c r="F871" s="3">
        <v>44054</v>
      </c>
      <c r="G871" s="108">
        <f t="shared" si="150"/>
        <v>8</v>
      </c>
      <c r="H871" s="108" t="str">
        <f t="shared" si="151"/>
        <v>완료</v>
      </c>
      <c r="I871" s="112" t="s">
        <v>514</v>
      </c>
      <c r="J871" s="4" t="s">
        <v>2383</v>
      </c>
      <c r="K871" s="5" t="s">
        <v>2384</v>
      </c>
      <c r="L871" s="6" t="str">
        <f t="shared" si="146"/>
        <v>EE1</v>
      </c>
      <c r="M871" s="13" t="s">
        <v>2385</v>
      </c>
      <c r="N871" s="7" t="s">
        <v>3847</v>
      </c>
      <c r="O871" s="13" t="s">
        <v>2386</v>
      </c>
      <c r="P871" s="115"/>
      <c r="Q871" s="8" t="s">
        <v>2389</v>
      </c>
      <c r="R871" s="2">
        <v>1</v>
      </c>
      <c r="S871" s="9">
        <v>8100</v>
      </c>
      <c r="T871" s="10">
        <f t="shared" si="140"/>
        <v>4050</v>
      </c>
      <c r="U871" s="9">
        <v>2500</v>
      </c>
      <c r="V871" s="10">
        <f t="shared" si="141"/>
        <v>1550</v>
      </c>
      <c r="W871" s="4" t="s">
        <v>2387</v>
      </c>
      <c r="X871" s="2" t="s">
        <v>2211</v>
      </c>
      <c r="Y871" s="11">
        <v>1</v>
      </c>
      <c r="Z871" s="12">
        <f t="shared" si="147"/>
        <v>53</v>
      </c>
      <c r="AA871" s="4" t="s">
        <v>2388</v>
      </c>
      <c r="AB871" s="201" t="s">
        <v>5179</v>
      </c>
      <c r="AC871" s="176">
        <f t="shared" si="143"/>
        <v>2.2727272727272729</v>
      </c>
      <c r="AD871"/>
    </row>
    <row r="872" spans="2:30">
      <c r="B872" s="183">
        <f t="shared" si="148"/>
        <v>33</v>
      </c>
      <c r="C872" s="107" t="str">
        <f t="shared" si="149"/>
        <v>ATK</v>
      </c>
      <c r="D872" s="2" t="s">
        <v>2382</v>
      </c>
      <c r="E872" s="3">
        <v>44001</v>
      </c>
      <c r="F872" s="3">
        <v>44054</v>
      </c>
      <c r="G872" s="108">
        <f t="shared" si="150"/>
        <v>8</v>
      </c>
      <c r="H872" s="108" t="str">
        <f t="shared" si="151"/>
        <v>완료</v>
      </c>
      <c r="I872" s="112" t="s">
        <v>514</v>
      </c>
      <c r="J872" s="4" t="s">
        <v>2383</v>
      </c>
      <c r="K872" s="5" t="s">
        <v>2384</v>
      </c>
      <c r="L872" s="6" t="str">
        <f t="shared" si="146"/>
        <v>EE1</v>
      </c>
      <c r="M872" s="13" t="s">
        <v>2385</v>
      </c>
      <c r="N872" s="7" t="s">
        <v>3847</v>
      </c>
      <c r="O872" s="13" t="s">
        <v>2386</v>
      </c>
      <c r="P872" s="115"/>
      <c r="Q872" s="8" t="s">
        <v>2390</v>
      </c>
      <c r="R872" s="2">
        <v>1</v>
      </c>
      <c r="S872" s="9">
        <v>8100</v>
      </c>
      <c r="T872" s="10">
        <f t="shared" si="140"/>
        <v>4050</v>
      </c>
      <c r="U872" s="9">
        <v>2500</v>
      </c>
      <c r="V872" s="10">
        <f>T872-U872</f>
        <v>1550</v>
      </c>
      <c r="W872" s="4" t="s">
        <v>2387</v>
      </c>
      <c r="X872" s="2" t="s">
        <v>2211</v>
      </c>
      <c r="Y872" s="11">
        <v>1</v>
      </c>
      <c r="Z872" s="12">
        <f t="shared" si="147"/>
        <v>53</v>
      </c>
      <c r="AA872" s="4" t="s">
        <v>2388</v>
      </c>
      <c r="AB872" s="201" t="s">
        <v>5179</v>
      </c>
      <c r="AC872" s="176">
        <f t="shared" si="143"/>
        <v>2.2727272727272729</v>
      </c>
      <c r="AD872"/>
    </row>
    <row r="873" spans="2:30">
      <c r="B873" s="183">
        <f t="shared" si="148"/>
        <v>25</v>
      </c>
      <c r="C873" s="107" t="str">
        <f t="shared" si="149"/>
        <v>ATK</v>
      </c>
      <c r="D873" s="2" t="s">
        <v>2391</v>
      </c>
      <c r="E873" s="3">
        <v>44001</v>
      </c>
      <c r="F873" s="3">
        <v>44001</v>
      </c>
      <c r="G873" s="108">
        <f t="shared" si="150"/>
        <v>6</v>
      </c>
      <c r="H873" s="108" t="str">
        <f t="shared" si="151"/>
        <v>완료</v>
      </c>
      <c r="I873" s="112" t="s">
        <v>218</v>
      </c>
      <c r="J873" s="4" t="s">
        <v>121</v>
      </c>
      <c r="K873" s="5" t="s">
        <v>136</v>
      </c>
      <c r="L873" s="6" t="str">
        <f t="shared" si="146"/>
        <v>5T1</v>
      </c>
      <c r="M873" s="13" t="s">
        <v>226</v>
      </c>
      <c r="N873" s="7" t="s">
        <v>3848</v>
      </c>
      <c r="O873" s="13" t="s">
        <v>225</v>
      </c>
      <c r="P873" s="115" t="s">
        <v>330</v>
      </c>
      <c r="Q873" s="8"/>
      <c r="R873" s="2">
        <v>1</v>
      </c>
      <c r="S873" s="9">
        <v>3500</v>
      </c>
      <c r="T873" s="10">
        <f t="shared" si="140"/>
        <v>1750</v>
      </c>
      <c r="U873" s="9">
        <v>1</v>
      </c>
      <c r="V873" s="10">
        <f t="shared" si="141"/>
        <v>1749</v>
      </c>
      <c r="W873" s="4" t="s">
        <v>2392</v>
      </c>
      <c r="X873" s="2"/>
      <c r="Y873" s="11">
        <v>4</v>
      </c>
      <c r="Z873" s="12">
        <f t="shared" si="147"/>
        <v>0</v>
      </c>
      <c r="AA873" s="4" t="s">
        <v>2393</v>
      </c>
      <c r="AC873" s="176">
        <f t="shared" si="143"/>
        <v>9.0909090909090909E-4</v>
      </c>
      <c r="AD873"/>
    </row>
    <row r="874" spans="2:30">
      <c r="B874" s="183">
        <f t="shared" si="148"/>
        <v>25</v>
      </c>
      <c r="C874" s="107" t="str">
        <f t="shared" si="149"/>
        <v>ATK</v>
      </c>
      <c r="D874" s="2" t="s">
        <v>295</v>
      </c>
      <c r="E874" s="3">
        <v>44001</v>
      </c>
      <c r="F874" s="3">
        <v>44001</v>
      </c>
      <c r="G874" s="108">
        <f t="shared" si="150"/>
        <v>6</v>
      </c>
      <c r="H874" s="108" t="str">
        <f t="shared" si="151"/>
        <v>완료</v>
      </c>
      <c r="I874" s="112" t="s">
        <v>218</v>
      </c>
      <c r="J874" s="4" t="s">
        <v>132</v>
      </c>
      <c r="K874" s="5" t="s">
        <v>133</v>
      </c>
      <c r="L874" s="6" t="str">
        <f t="shared" si="146"/>
        <v>3T3</v>
      </c>
      <c r="M874" s="13" t="s">
        <v>1600</v>
      </c>
      <c r="N874" s="7" t="s">
        <v>3845</v>
      </c>
      <c r="O874" s="13" t="s">
        <v>2374</v>
      </c>
      <c r="P874" s="115" t="s">
        <v>2375</v>
      </c>
      <c r="Q874" s="8"/>
      <c r="R874" s="2">
        <v>1</v>
      </c>
      <c r="S874" s="9">
        <v>300</v>
      </c>
      <c r="T874" s="10">
        <f t="shared" ref="T874:T875" si="161">(S874*50)/100*R874</f>
        <v>150</v>
      </c>
      <c r="U874" s="9">
        <v>1</v>
      </c>
      <c r="V874" s="10">
        <f t="shared" ref="V874:V875" si="162">T874-U874</f>
        <v>149</v>
      </c>
      <c r="W874" s="4" t="s">
        <v>122</v>
      </c>
      <c r="X874" s="2"/>
      <c r="Y874" s="11">
        <v>1</v>
      </c>
      <c r="Z874" s="12">
        <f t="shared" si="147"/>
        <v>0</v>
      </c>
      <c r="AA874" s="4" t="s">
        <v>120</v>
      </c>
      <c r="AC874" s="176">
        <f t="shared" si="143"/>
        <v>9.0909090909090909E-4</v>
      </c>
      <c r="AD874"/>
    </row>
    <row r="875" spans="2:30">
      <c r="B875" s="183">
        <f t="shared" si="148"/>
        <v>25</v>
      </c>
      <c r="C875" s="107" t="str">
        <f t="shared" si="149"/>
        <v>ATK</v>
      </c>
      <c r="D875" s="2" t="s">
        <v>302</v>
      </c>
      <c r="E875" s="3">
        <v>44000</v>
      </c>
      <c r="F875" s="3">
        <v>44001</v>
      </c>
      <c r="G875" s="108">
        <f t="shared" si="150"/>
        <v>6</v>
      </c>
      <c r="H875" s="108" t="str">
        <f t="shared" si="151"/>
        <v>완료</v>
      </c>
      <c r="I875" s="112" t="s">
        <v>264</v>
      </c>
      <c r="J875" s="4" t="s">
        <v>205</v>
      </c>
      <c r="K875" s="5" t="s">
        <v>206</v>
      </c>
      <c r="L875" s="6" t="str">
        <f t="shared" si="146"/>
        <v>1T1</v>
      </c>
      <c r="M875" s="13" t="s">
        <v>2241</v>
      </c>
      <c r="N875" s="7" t="s">
        <v>3560</v>
      </c>
      <c r="O875" s="7" t="s">
        <v>2241</v>
      </c>
      <c r="P875" s="115" t="s">
        <v>2243</v>
      </c>
      <c r="Q875" s="8"/>
      <c r="R875" s="2">
        <v>1</v>
      </c>
      <c r="S875" s="9">
        <v>910</v>
      </c>
      <c r="T875" s="10">
        <f t="shared" si="161"/>
        <v>455</v>
      </c>
      <c r="U875" s="9">
        <v>25</v>
      </c>
      <c r="V875" s="10">
        <f t="shared" si="162"/>
        <v>430</v>
      </c>
      <c r="W875" s="4" t="s">
        <v>249</v>
      </c>
      <c r="X875" s="2"/>
      <c r="Y875" s="11">
        <v>2</v>
      </c>
      <c r="Z875" s="12">
        <f t="shared" si="147"/>
        <v>1</v>
      </c>
      <c r="AA875" s="4" t="s">
        <v>174</v>
      </c>
      <c r="AC875" s="176">
        <f t="shared" si="143"/>
        <v>2.2727272727272728E-2</v>
      </c>
      <c r="AD875"/>
    </row>
    <row r="876" spans="2:30">
      <c r="B876" s="183">
        <f t="shared" si="148"/>
        <v>26</v>
      </c>
      <c r="C876" s="107" t="str">
        <f t="shared" si="149"/>
        <v>ATK</v>
      </c>
      <c r="D876" s="2" t="s">
        <v>2394</v>
      </c>
      <c r="E876" s="3">
        <v>44001</v>
      </c>
      <c r="F876" s="3">
        <v>44004</v>
      </c>
      <c r="G876" s="108">
        <f t="shared" si="150"/>
        <v>6</v>
      </c>
      <c r="H876" s="108" t="str">
        <f t="shared" si="151"/>
        <v>완료</v>
      </c>
      <c r="I876" s="112" t="s">
        <v>264</v>
      </c>
      <c r="J876" s="4" t="s">
        <v>2395</v>
      </c>
      <c r="K876" s="5" t="s">
        <v>2395</v>
      </c>
      <c r="L876" s="6" t="str">
        <f t="shared" si="146"/>
        <v>QA</v>
      </c>
      <c r="M876" s="13" t="s">
        <v>2396</v>
      </c>
      <c r="N876" s="7" t="s">
        <v>3849</v>
      </c>
      <c r="O876" s="13" t="s">
        <v>2396</v>
      </c>
      <c r="P876" s="115" t="s">
        <v>2397</v>
      </c>
      <c r="Q876" s="8"/>
      <c r="R876" s="2">
        <v>1</v>
      </c>
      <c r="S876" s="9">
        <v>400</v>
      </c>
      <c r="T876" s="10">
        <f t="shared" ref="T876:T895" si="163">(S876*50)/100*R876</f>
        <v>200</v>
      </c>
      <c r="U876" s="9">
        <v>5</v>
      </c>
      <c r="V876" s="10">
        <f t="shared" ref="V876:V895" si="164">T876-U876</f>
        <v>195</v>
      </c>
      <c r="W876" s="4" t="s">
        <v>2398</v>
      </c>
      <c r="X876" s="2"/>
      <c r="Y876" s="11">
        <v>2</v>
      </c>
      <c r="Z876" s="12">
        <f t="shared" si="147"/>
        <v>3</v>
      </c>
      <c r="AA876" s="4" t="s">
        <v>2399</v>
      </c>
      <c r="AC876" s="176">
        <f t="shared" si="143"/>
        <v>4.5454545454545452E-3</v>
      </c>
      <c r="AD876"/>
    </row>
    <row r="877" spans="2:30">
      <c r="B877" s="183">
        <f t="shared" si="148"/>
        <v>26</v>
      </c>
      <c r="C877" s="107" t="str">
        <f t="shared" si="149"/>
        <v>ATK</v>
      </c>
      <c r="D877" s="2" t="s">
        <v>2400</v>
      </c>
      <c r="E877" s="3">
        <v>44001</v>
      </c>
      <c r="F877" s="3">
        <v>44004</v>
      </c>
      <c r="G877" s="108">
        <f t="shared" si="150"/>
        <v>6</v>
      </c>
      <c r="H877" s="108" t="str">
        <f t="shared" si="151"/>
        <v>완료</v>
      </c>
      <c r="I877" s="112" t="s">
        <v>218</v>
      </c>
      <c r="J877" s="4" t="s">
        <v>132</v>
      </c>
      <c r="K877" s="5" t="s">
        <v>322</v>
      </c>
      <c r="L877" s="6" t="str">
        <f t="shared" si="146"/>
        <v>3T1</v>
      </c>
      <c r="M877" s="13" t="s">
        <v>1600</v>
      </c>
      <c r="N877" s="7" t="s">
        <v>3845</v>
      </c>
      <c r="O877" s="13" t="s">
        <v>2374</v>
      </c>
      <c r="P877" s="115" t="s">
        <v>2375</v>
      </c>
      <c r="Q877" s="8"/>
      <c r="R877" s="2">
        <v>1</v>
      </c>
      <c r="S877" s="9">
        <v>300</v>
      </c>
      <c r="T877" s="10">
        <f t="shared" si="163"/>
        <v>150</v>
      </c>
      <c r="U877" s="9">
        <v>1</v>
      </c>
      <c r="V877" s="10">
        <f t="shared" si="164"/>
        <v>149</v>
      </c>
      <c r="W877" s="4" t="s">
        <v>122</v>
      </c>
      <c r="X877" s="2"/>
      <c r="Y877" s="11">
        <v>3</v>
      </c>
      <c r="Z877" s="12">
        <f t="shared" si="147"/>
        <v>3</v>
      </c>
      <c r="AA877" s="4" t="s">
        <v>120</v>
      </c>
      <c r="AC877" s="176">
        <f t="shared" si="143"/>
        <v>9.0909090909090909E-4</v>
      </c>
      <c r="AD877"/>
    </row>
    <row r="878" spans="2:30">
      <c r="B878" s="183">
        <f t="shared" si="148"/>
        <v>26</v>
      </c>
      <c r="C878" s="107" t="str">
        <f t="shared" si="149"/>
        <v>ATK</v>
      </c>
      <c r="D878" s="2" t="s">
        <v>2401</v>
      </c>
      <c r="E878" s="3">
        <v>44004</v>
      </c>
      <c r="F878" s="3">
        <v>44004</v>
      </c>
      <c r="G878" s="108">
        <f t="shared" si="150"/>
        <v>6</v>
      </c>
      <c r="H878" s="108" t="str">
        <f t="shared" si="151"/>
        <v>완료</v>
      </c>
      <c r="I878" s="112" t="s">
        <v>218</v>
      </c>
      <c r="J878" s="4" t="s">
        <v>132</v>
      </c>
      <c r="K878" s="5" t="s">
        <v>322</v>
      </c>
      <c r="L878" s="6" t="str">
        <f t="shared" si="146"/>
        <v>3T1</v>
      </c>
      <c r="M878" s="13"/>
      <c r="N878" s="7" t="s">
        <v>3850</v>
      </c>
      <c r="O878" s="13" t="s">
        <v>2402</v>
      </c>
      <c r="P878" s="115" t="s">
        <v>2403</v>
      </c>
      <c r="Q878" s="8"/>
      <c r="R878" s="2">
        <v>1</v>
      </c>
      <c r="S878" s="9">
        <v>500</v>
      </c>
      <c r="T878" s="10">
        <f t="shared" si="163"/>
        <v>250</v>
      </c>
      <c r="U878" s="9"/>
      <c r="V878" s="10">
        <f t="shared" si="164"/>
        <v>250</v>
      </c>
      <c r="W878" s="4" t="s">
        <v>122</v>
      </c>
      <c r="X878" s="2"/>
      <c r="Y878" s="11">
        <v>2</v>
      </c>
      <c r="Z878" s="12">
        <f t="shared" si="147"/>
        <v>0</v>
      </c>
      <c r="AA878" s="4" t="s">
        <v>259</v>
      </c>
      <c r="AC878" s="176">
        <f t="shared" si="143"/>
        <v>0</v>
      </c>
      <c r="AD878"/>
    </row>
    <row r="879" spans="2:30">
      <c r="B879" s="183">
        <f t="shared" si="148"/>
        <v>26</v>
      </c>
      <c r="C879" s="107" t="str">
        <f t="shared" si="149"/>
        <v>ATK</v>
      </c>
      <c r="D879" s="2" t="s">
        <v>295</v>
      </c>
      <c r="E879" s="3">
        <v>44004</v>
      </c>
      <c r="F879" s="3">
        <v>44004</v>
      </c>
      <c r="G879" s="108">
        <f t="shared" si="150"/>
        <v>6</v>
      </c>
      <c r="H879" s="108" t="str">
        <f t="shared" si="151"/>
        <v>완료</v>
      </c>
      <c r="I879" s="112" t="s">
        <v>218</v>
      </c>
      <c r="J879" s="4" t="s">
        <v>132</v>
      </c>
      <c r="K879" s="5" t="s">
        <v>322</v>
      </c>
      <c r="L879" s="6" t="str">
        <f t="shared" si="146"/>
        <v>3T1</v>
      </c>
      <c r="M879" s="13" t="s">
        <v>2404</v>
      </c>
      <c r="N879" s="7" t="s">
        <v>3851</v>
      </c>
      <c r="O879" s="13" t="s">
        <v>225</v>
      </c>
      <c r="P879" s="115" t="s">
        <v>2406</v>
      </c>
      <c r="Q879" s="8"/>
      <c r="R879" s="2">
        <v>1</v>
      </c>
      <c r="S879" s="9">
        <v>1500</v>
      </c>
      <c r="T879" s="10">
        <f t="shared" ref="T879" si="165">(S879*50)/100*R879</f>
        <v>750</v>
      </c>
      <c r="U879" s="9">
        <v>25</v>
      </c>
      <c r="V879" s="10">
        <f t="shared" ref="V879" si="166">T879-U879</f>
        <v>725</v>
      </c>
      <c r="W879" s="4" t="s">
        <v>122</v>
      </c>
      <c r="X879" s="2"/>
      <c r="Y879" s="11">
        <v>4</v>
      </c>
      <c r="Z879" s="12">
        <f t="shared" si="147"/>
        <v>0</v>
      </c>
      <c r="AA879" s="4" t="s">
        <v>2405</v>
      </c>
      <c r="AC879" s="176">
        <f t="shared" si="143"/>
        <v>2.2727272727272728E-2</v>
      </c>
      <c r="AD879"/>
    </row>
    <row r="880" spans="2:30">
      <c r="B880" s="183">
        <f t="shared" si="148"/>
        <v>26</v>
      </c>
      <c r="C880" s="107" t="str">
        <f t="shared" si="149"/>
        <v>ATK</v>
      </c>
      <c r="D880" s="2" t="s">
        <v>2407</v>
      </c>
      <c r="E880" s="3">
        <v>44004</v>
      </c>
      <c r="F880" s="3">
        <v>44004</v>
      </c>
      <c r="G880" s="108">
        <f t="shared" si="150"/>
        <v>6</v>
      </c>
      <c r="H880" s="108" t="str">
        <f t="shared" si="151"/>
        <v>완료</v>
      </c>
      <c r="I880" s="112" t="s">
        <v>218</v>
      </c>
      <c r="J880" s="4" t="s">
        <v>2408</v>
      </c>
      <c r="K880" s="5" t="s">
        <v>2408</v>
      </c>
      <c r="L880" s="6" t="str">
        <f t="shared" si="146"/>
        <v>K5</v>
      </c>
      <c r="M880" s="13" t="s">
        <v>226</v>
      </c>
      <c r="N880" s="7" t="s">
        <v>3852</v>
      </c>
      <c r="O880" s="13" t="s">
        <v>2409</v>
      </c>
      <c r="P880" s="115" t="s">
        <v>2410</v>
      </c>
      <c r="Q880" s="8"/>
      <c r="R880" s="2">
        <v>3</v>
      </c>
      <c r="S880" s="9">
        <v>1200</v>
      </c>
      <c r="T880" s="10">
        <f t="shared" si="163"/>
        <v>1800</v>
      </c>
      <c r="U880" s="9">
        <v>30</v>
      </c>
      <c r="V880" s="10">
        <f t="shared" si="164"/>
        <v>1770</v>
      </c>
      <c r="W880" s="4" t="s">
        <v>122</v>
      </c>
      <c r="X880" s="2"/>
      <c r="Y880" s="11">
        <v>4</v>
      </c>
      <c r="Z880" s="12">
        <f t="shared" si="147"/>
        <v>0</v>
      </c>
      <c r="AA880" s="4" t="s">
        <v>2411</v>
      </c>
      <c r="AC880" s="176">
        <f t="shared" si="143"/>
        <v>2.7272727272727271E-2</v>
      </c>
      <c r="AD880"/>
    </row>
    <row r="881" spans="2:30">
      <c r="B881" s="183">
        <f t="shared" si="148"/>
        <v>26</v>
      </c>
      <c r="C881" s="107" t="str">
        <f t="shared" si="149"/>
        <v>ATK</v>
      </c>
      <c r="D881" s="2" t="s">
        <v>2412</v>
      </c>
      <c r="E881" s="3">
        <v>44004</v>
      </c>
      <c r="F881" s="3">
        <v>44004</v>
      </c>
      <c r="G881" s="108">
        <f t="shared" si="150"/>
        <v>6</v>
      </c>
      <c r="H881" s="108" t="str">
        <f t="shared" si="151"/>
        <v>완료</v>
      </c>
      <c r="I881" s="112" t="s">
        <v>218</v>
      </c>
      <c r="J881" s="4" t="s">
        <v>121</v>
      </c>
      <c r="K881" s="5" t="s">
        <v>136</v>
      </c>
      <c r="L881" s="6" t="str">
        <f t="shared" si="146"/>
        <v>5T1</v>
      </c>
      <c r="M881" s="13" t="s">
        <v>1672</v>
      </c>
      <c r="N881" s="7"/>
      <c r="O881" s="13" t="s">
        <v>1320</v>
      </c>
      <c r="P881" s="115" t="s">
        <v>2413</v>
      </c>
      <c r="Q881" s="8"/>
      <c r="R881" s="2">
        <v>1</v>
      </c>
      <c r="S881" s="9">
        <v>5000</v>
      </c>
      <c r="T881" s="10">
        <f t="shared" si="163"/>
        <v>2500</v>
      </c>
      <c r="U881" s="9">
        <v>5</v>
      </c>
      <c r="V881" s="10">
        <f t="shared" si="164"/>
        <v>2495</v>
      </c>
      <c r="W881" s="4" t="s">
        <v>122</v>
      </c>
      <c r="X881" s="2"/>
      <c r="Y881" s="11">
        <v>1</v>
      </c>
      <c r="Z881" s="12">
        <f t="shared" si="147"/>
        <v>0</v>
      </c>
      <c r="AA881" s="4" t="s">
        <v>117</v>
      </c>
      <c r="AC881" s="176">
        <f t="shared" si="143"/>
        <v>4.5454545454545452E-3</v>
      </c>
      <c r="AD881"/>
    </row>
    <row r="882" spans="2:30">
      <c r="B882" s="183">
        <f t="shared" si="148"/>
        <v>26</v>
      </c>
      <c r="C882" s="107" t="str">
        <f t="shared" si="149"/>
        <v>ATK</v>
      </c>
      <c r="D882" s="2" t="s">
        <v>238</v>
      </c>
      <c r="E882" s="3">
        <v>44004</v>
      </c>
      <c r="F882" s="3">
        <v>44004</v>
      </c>
      <c r="G882" s="108">
        <f t="shared" si="150"/>
        <v>6</v>
      </c>
      <c r="H882" s="108" t="str">
        <f t="shared" si="151"/>
        <v>완료</v>
      </c>
      <c r="I882" s="112" t="s">
        <v>218</v>
      </c>
      <c r="J882" s="4" t="s">
        <v>132</v>
      </c>
      <c r="K882" s="5" t="s">
        <v>143</v>
      </c>
      <c r="L882" s="6" t="str">
        <f t="shared" si="146"/>
        <v>3T4</v>
      </c>
      <c r="M882" s="13" t="s">
        <v>2202</v>
      </c>
      <c r="N882" s="7" t="s">
        <v>3831</v>
      </c>
      <c r="O882" s="13" t="s">
        <v>855</v>
      </c>
      <c r="P882" s="115" t="s">
        <v>2414</v>
      </c>
      <c r="Q882" s="8"/>
      <c r="R882" s="2">
        <v>1</v>
      </c>
      <c r="S882" s="9">
        <v>600</v>
      </c>
      <c r="T882" s="10">
        <f t="shared" si="163"/>
        <v>300</v>
      </c>
      <c r="U882" s="9">
        <v>0</v>
      </c>
      <c r="V882" s="10">
        <f t="shared" si="164"/>
        <v>300</v>
      </c>
      <c r="W882" s="4" t="s">
        <v>122</v>
      </c>
      <c r="X882" s="2"/>
      <c r="Y882" s="11">
        <v>2</v>
      </c>
      <c r="Z882" s="12">
        <f t="shared" si="147"/>
        <v>0</v>
      </c>
      <c r="AA882" s="4" t="s">
        <v>117</v>
      </c>
      <c r="AC882" s="176">
        <f t="shared" si="143"/>
        <v>0</v>
      </c>
      <c r="AD882"/>
    </row>
    <row r="883" spans="2:30">
      <c r="B883" s="183">
        <f t="shared" si="148"/>
        <v>26</v>
      </c>
      <c r="C883" s="107" t="str">
        <f t="shared" si="149"/>
        <v>ATK</v>
      </c>
      <c r="D883" s="2" t="s">
        <v>2415</v>
      </c>
      <c r="E883" s="3">
        <v>44004</v>
      </c>
      <c r="F883" s="3">
        <v>44006</v>
      </c>
      <c r="G883" s="108">
        <f t="shared" si="150"/>
        <v>6</v>
      </c>
      <c r="H883" s="108" t="str">
        <f t="shared" si="151"/>
        <v>완료</v>
      </c>
      <c r="I883" s="112" t="s">
        <v>264</v>
      </c>
      <c r="J883" s="4" t="s">
        <v>2416</v>
      </c>
      <c r="K883" s="5" t="s">
        <v>2417</v>
      </c>
      <c r="L883" s="6" t="str">
        <f t="shared" si="146"/>
        <v>QA</v>
      </c>
      <c r="M883" s="13" t="s">
        <v>2418</v>
      </c>
      <c r="N883" s="7" t="s">
        <v>3707</v>
      </c>
      <c r="O883" s="13" t="s">
        <v>207</v>
      </c>
      <c r="P883" s="115" t="s">
        <v>2419</v>
      </c>
      <c r="Q883" s="8"/>
      <c r="R883" s="2">
        <v>1</v>
      </c>
      <c r="S883" s="9">
        <v>500</v>
      </c>
      <c r="T883" s="10">
        <f t="shared" si="163"/>
        <v>250</v>
      </c>
      <c r="U883" s="9">
        <v>15</v>
      </c>
      <c r="V883" s="10">
        <f t="shared" si="164"/>
        <v>235</v>
      </c>
      <c r="W883" s="4" t="s">
        <v>2421</v>
      </c>
      <c r="X883" s="2"/>
      <c r="Y883" s="11">
        <v>4</v>
      </c>
      <c r="Z883" s="12">
        <f t="shared" si="147"/>
        <v>2</v>
      </c>
      <c r="AA883" s="4" t="s">
        <v>2420</v>
      </c>
      <c r="AC883" s="176">
        <f t="shared" ref="AC883:AC946" si="167">U883/1100</f>
        <v>1.3636363636363636E-2</v>
      </c>
      <c r="AD883"/>
    </row>
    <row r="884" spans="2:30">
      <c r="B884" s="183">
        <f t="shared" si="148"/>
        <v>26</v>
      </c>
      <c r="C884" s="107" t="str">
        <f t="shared" si="149"/>
        <v>ATK</v>
      </c>
      <c r="D884" s="2" t="s">
        <v>278</v>
      </c>
      <c r="E884" s="3">
        <v>44004</v>
      </c>
      <c r="F884" s="3">
        <v>44004</v>
      </c>
      <c r="G884" s="108">
        <f t="shared" si="150"/>
        <v>6</v>
      </c>
      <c r="H884" s="108" t="str">
        <f t="shared" si="151"/>
        <v>완료</v>
      </c>
      <c r="I884" s="112" t="s">
        <v>218</v>
      </c>
      <c r="J884" s="4" t="s">
        <v>303</v>
      </c>
      <c r="K884" s="5" t="s">
        <v>303</v>
      </c>
      <c r="L884" s="6" t="str">
        <f t="shared" si="146"/>
        <v>K5</v>
      </c>
      <c r="M884" s="13" t="s">
        <v>226</v>
      </c>
      <c r="N884" s="7" t="s">
        <v>3852</v>
      </c>
      <c r="O884" s="13" t="s">
        <v>786</v>
      </c>
      <c r="P884" s="115" t="s">
        <v>2410</v>
      </c>
      <c r="Q884" s="8"/>
      <c r="R884" s="2">
        <v>1</v>
      </c>
      <c r="S884" s="9">
        <v>1200</v>
      </c>
      <c r="T884" s="10">
        <f t="shared" ref="T884" si="168">(S884*50)/100*R884</f>
        <v>600</v>
      </c>
      <c r="U884" s="9">
        <v>10</v>
      </c>
      <c r="V884" s="10">
        <f t="shared" ref="V884" si="169">T884-U884</f>
        <v>590</v>
      </c>
      <c r="W884" s="4" t="s">
        <v>122</v>
      </c>
      <c r="X884" s="2"/>
      <c r="Y884" s="11">
        <v>2</v>
      </c>
      <c r="Z884" s="12">
        <f t="shared" si="147"/>
        <v>0</v>
      </c>
      <c r="AA884" s="4" t="s">
        <v>174</v>
      </c>
      <c r="AC884" s="176">
        <f t="shared" si="167"/>
        <v>9.0909090909090905E-3</v>
      </c>
      <c r="AD884"/>
    </row>
    <row r="885" spans="2:30">
      <c r="B885" s="183">
        <f t="shared" si="148"/>
        <v>26</v>
      </c>
      <c r="C885" s="107" t="str">
        <f t="shared" si="149"/>
        <v>ATK</v>
      </c>
      <c r="D885" s="2" t="s">
        <v>2422</v>
      </c>
      <c r="E885" s="3">
        <v>44004</v>
      </c>
      <c r="F885" s="3">
        <v>44004</v>
      </c>
      <c r="G885" s="108">
        <f t="shared" si="150"/>
        <v>6</v>
      </c>
      <c r="H885" s="108" t="str">
        <f t="shared" si="151"/>
        <v>수리불가</v>
      </c>
      <c r="I885" s="112" t="s">
        <v>601</v>
      </c>
      <c r="J885" s="4" t="s">
        <v>118</v>
      </c>
      <c r="K885" s="5" t="s">
        <v>134</v>
      </c>
      <c r="L885" s="6" t="str">
        <f t="shared" si="146"/>
        <v>2T1</v>
      </c>
      <c r="M885" s="13" t="s">
        <v>226</v>
      </c>
      <c r="N885" s="7"/>
      <c r="O885" s="13" t="s">
        <v>2423</v>
      </c>
      <c r="P885" s="115"/>
      <c r="Q885" s="8"/>
      <c r="R885" s="2">
        <v>1</v>
      </c>
      <c r="S885" s="9">
        <v>300</v>
      </c>
      <c r="T885" s="10">
        <f t="shared" si="163"/>
        <v>150</v>
      </c>
      <c r="U885" s="9">
        <v>0</v>
      </c>
      <c r="V885" s="10">
        <f t="shared" si="164"/>
        <v>150</v>
      </c>
      <c r="W885" s="4" t="s">
        <v>122</v>
      </c>
      <c r="X885" s="2"/>
      <c r="Y885" s="11">
        <v>2</v>
      </c>
      <c r="Z885" s="12">
        <f t="shared" si="147"/>
        <v>0</v>
      </c>
      <c r="AA885" s="4" t="s">
        <v>117</v>
      </c>
      <c r="AC885" s="176">
        <f t="shared" si="167"/>
        <v>0</v>
      </c>
      <c r="AD885"/>
    </row>
    <row r="886" spans="2:30">
      <c r="B886" s="183">
        <f t="shared" si="148"/>
        <v>26</v>
      </c>
      <c r="C886" s="107" t="str">
        <f t="shared" si="149"/>
        <v>ATK</v>
      </c>
      <c r="D886" s="2" t="s">
        <v>2287</v>
      </c>
      <c r="E886" s="3">
        <v>44004</v>
      </c>
      <c r="F886" s="3">
        <v>44006</v>
      </c>
      <c r="G886" s="108">
        <f t="shared" si="150"/>
        <v>6</v>
      </c>
      <c r="H886" s="108" t="str">
        <f t="shared" si="151"/>
        <v>완료</v>
      </c>
      <c r="I886" s="112" t="s">
        <v>218</v>
      </c>
      <c r="J886" s="4" t="s">
        <v>115</v>
      </c>
      <c r="K886" s="5" t="s">
        <v>116</v>
      </c>
      <c r="L886" s="6" t="str">
        <f t="shared" si="146"/>
        <v>EE2</v>
      </c>
      <c r="M886" s="13" t="s">
        <v>1672</v>
      </c>
      <c r="N886" s="7"/>
      <c r="O886" s="13" t="s">
        <v>1320</v>
      </c>
      <c r="P886" s="115" t="s">
        <v>2424</v>
      </c>
      <c r="Q886" s="8"/>
      <c r="R886" s="2">
        <v>1</v>
      </c>
      <c r="S886" s="9">
        <v>5000</v>
      </c>
      <c r="T886" s="10">
        <f t="shared" ref="T886" si="170">(S886*50)/100*R886</f>
        <v>2500</v>
      </c>
      <c r="U886" s="9">
        <v>5</v>
      </c>
      <c r="V886" s="10">
        <f t="shared" ref="V886" si="171">T886-U886</f>
        <v>2495</v>
      </c>
      <c r="W886" s="4" t="s">
        <v>122</v>
      </c>
      <c r="X886" s="2"/>
      <c r="Y886" s="11">
        <v>6</v>
      </c>
      <c r="Z886" s="12">
        <f t="shared" si="147"/>
        <v>2</v>
      </c>
      <c r="AA886" s="4" t="s">
        <v>117</v>
      </c>
      <c r="AC886" s="176">
        <f t="shared" si="167"/>
        <v>4.5454545454545452E-3</v>
      </c>
      <c r="AD886"/>
    </row>
    <row r="887" spans="2:30">
      <c r="B887" s="183">
        <f t="shared" si="148"/>
        <v>26</v>
      </c>
      <c r="C887" s="107" t="str">
        <f t="shared" si="149"/>
        <v>ATK</v>
      </c>
      <c r="D887" s="2" t="s">
        <v>272</v>
      </c>
      <c r="E887" s="3">
        <v>44004</v>
      </c>
      <c r="F887" s="3">
        <v>44005</v>
      </c>
      <c r="G887" s="108">
        <f t="shared" si="150"/>
        <v>6</v>
      </c>
      <c r="H887" s="108" t="str">
        <f t="shared" si="151"/>
        <v>완료</v>
      </c>
      <c r="I887" s="112" t="s">
        <v>218</v>
      </c>
      <c r="J887" s="4" t="s">
        <v>132</v>
      </c>
      <c r="K887" s="5" t="s">
        <v>133</v>
      </c>
      <c r="L887" s="6" t="str">
        <f t="shared" si="146"/>
        <v>3T3</v>
      </c>
      <c r="M887" s="13" t="s">
        <v>2425</v>
      </c>
      <c r="N887" s="7" t="s">
        <v>3853</v>
      </c>
      <c r="O887" s="13" t="s">
        <v>2426</v>
      </c>
      <c r="P887" s="115" t="s">
        <v>2427</v>
      </c>
      <c r="Q887" s="8"/>
      <c r="R887" s="2">
        <v>1</v>
      </c>
      <c r="S887" s="9">
        <v>560</v>
      </c>
      <c r="T887" s="10">
        <f t="shared" si="163"/>
        <v>280</v>
      </c>
      <c r="U887" s="9">
        <v>0</v>
      </c>
      <c r="V887" s="10">
        <f t="shared" si="164"/>
        <v>280</v>
      </c>
      <c r="W887" s="4" t="s">
        <v>122</v>
      </c>
      <c r="X887" s="2"/>
      <c r="Y887" s="11">
        <v>3</v>
      </c>
      <c r="Z887" s="12">
        <f t="shared" si="147"/>
        <v>1</v>
      </c>
      <c r="AA887" s="4" t="s">
        <v>120</v>
      </c>
      <c r="AC887" s="176">
        <f t="shared" si="167"/>
        <v>0</v>
      </c>
      <c r="AD887"/>
    </row>
    <row r="888" spans="2:30">
      <c r="B888" s="183">
        <f t="shared" si="148"/>
        <v>26</v>
      </c>
      <c r="C888" s="107" t="str">
        <f t="shared" si="149"/>
        <v>ATK</v>
      </c>
      <c r="D888" s="2" t="s">
        <v>2428</v>
      </c>
      <c r="E888" s="3">
        <v>44005</v>
      </c>
      <c r="F888" s="3">
        <v>44005</v>
      </c>
      <c r="G888" s="108">
        <f t="shared" si="150"/>
        <v>6</v>
      </c>
      <c r="H888" s="108" t="str">
        <f t="shared" si="151"/>
        <v>완료</v>
      </c>
      <c r="I888" s="112" t="s">
        <v>218</v>
      </c>
      <c r="J888" s="4" t="s">
        <v>132</v>
      </c>
      <c r="K888" s="5" t="s">
        <v>143</v>
      </c>
      <c r="L888" s="6" t="str">
        <f t="shared" si="146"/>
        <v>3T4</v>
      </c>
      <c r="M888" s="13" t="s">
        <v>2429</v>
      </c>
      <c r="N888" s="7" t="s">
        <v>3854</v>
      </c>
      <c r="O888" s="13" t="s">
        <v>2430</v>
      </c>
      <c r="P888" s="115" t="s">
        <v>2431</v>
      </c>
      <c r="Q888" s="8"/>
      <c r="R888" s="2">
        <v>1</v>
      </c>
      <c r="S888" s="9">
        <v>1200</v>
      </c>
      <c r="T888" s="10">
        <f t="shared" si="163"/>
        <v>600</v>
      </c>
      <c r="U888" s="9">
        <v>0</v>
      </c>
      <c r="V888" s="10">
        <f t="shared" si="164"/>
        <v>600</v>
      </c>
      <c r="W888" s="4" t="s">
        <v>122</v>
      </c>
      <c r="X888" s="2"/>
      <c r="Y888" s="11">
        <v>4</v>
      </c>
      <c r="Z888" s="12">
        <f t="shared" si="147"/>
        <v>0</v>
      </c>
      <c r="AA888" s="4" t="s">
        <v>120</v>
      </c>
      <c r="AC888" s="176">
        <f t="shared" si="167"/>
        <v>0</v>
      </c>
      <c r="AD888"/>
    </row>
    <row r="889" spans="2:30">
      <c r="B889" s="183">
        <f t="shared" si="148"/>
        <v>26</v>
      </c>
      <c r="C889" s="107" t="str">
        <f t="shared" si="149"/>
        <v>ATK</v>
      </c>
      <c r="D889" s="2" t="s">
        <v>1717</v>
      </c>
      <c r="E889" s="3">
        <v>44005</v>
      </c>
      <c r="F889" s="3">
        <v>44005</v>
      </c>
      <c r="G889" s="108">
        <f t="shared" si="150"/>
        <v>6</v>
      </c>
      <c r="H889" s="108" t="str">
        <f t="shared" si="151"/>
        <v>Other</v>
      </c>
      <c r="I889" s="112" t="s">
        <v>251</v>
      </c>
      <c r="J889" s="4" t="s">
        <v>2432</v>
      </c>
      <c r="K889" s="5" t="s">
        <v>2433</v>
      </c>
      <c r="L889" s="6" t="str">
        <f t="shared" si="146"/>
        <v>2T3</v>
      </c>
      <c r="M889" s="13" t="s">
        <v>226</v>
      </c>
      <c r="N889" s="7" t="s">
        <v>140</v>
      </c>
      <c r="O889" s="13" t="s">
        <v>2434</v>
      </c>
      <c r="P889" s="115"/>
      <c r="Q889" s="8"/>
      <c r="R889" s="2">
        <v>1</v>
      </c>
      <c r="S889" s="9">
        <v>0</v>
      </c>
      <c r="T889" s="10">
        <f t="shared" si="163"/>
        <v>0</v>
      </c>
      <c r="U889" s="9">
        <v>0</v>
      </c>
      <c r="V889" s="10">
        <f t="shared" si="164"/>
        <v>0</v>
      </c>
      <c r="W889" s="4" t="s">
        <v>122</v>
      </c>
      <c r="X889" s="2"/>
      <c r="Y889" s="11">
        <v>6</v>
      </c>
      <c r="Z889" s="12">
        <f t="shared" si="147"/>
        <v>0</v>
      </c>
      <c r="AA889" s="4" t="s">
        <v>174</v>
      </c>
      <c r="AC889" s="176">
        <f t="shared" si="167"/>
        <v>0</v>
      </c>
      <c r="AD889"/>
    </row>
    <row r="890" spans="2:30">
      <c r="B890" s="183">
        <f t="shared" si="148"/>
        <v>26</v>
      </c>
      <c r="C890" s="107" t="str">
        <f t="shared" si="149"/>
        <v>ATK</v>
      </c>
      <c r="D890" s="2" t="s">
        <v>1717</v>
      </c>
      <c r="E890" s="3">
        <v>44005</v>
      </c>
      <c r="F890" s="3">
        <v>44005</v>
      </c>
      <c r="G890" s="108">
        <f t="shared" si="150"/>
        <v>6</v>
      </c>
      <c r="H890" s="108" t="str">
        <f t="shared" si="151"/>
        <v>Other</v>
      </c>
      <c r="I890" s="112" t="s">
        <v>251</v>
      </c>
      <c r="J890" s="4" t="s">
        <v>2432</v>
      </c>
      <c r="K890" s="5" t="s">
        <v>2433</v>
      </c>
      <c r="L890" s="6" t="str">
        <f t="shared" si="146"/>
        <v>2T3</v>
      </c>
      <c r="M890" s="13" t="s">
        <v>226</v>
      </c>
      <c r="N890" s="7" t="s">
        <v>140</v>
      </c>
      <c r="O890" s="13" t="s">
        <v>2434</v>
      </c>
      <c r="P890" s="115"/>
      <c r="Q890" s="8"/>
      <c r="R890" s="2">
        <v>1</v>
      </c>
      <c r="S890" s="9">
        <v>0</v>
      </c>
      <c r="T890" s="10">
        <f t="shared" si="163"/>
        <v>0</v>
      </c>
      <c r="U890" s="9">
        <v>0</v>
      </c>
      <c r="V890" s="10">
        <f t="shared" si="164"/>
        <v>0</v>
      </c>
      <c r="W890" s="4" t="s">
        <v>122</v>
      </c>
      <c r="X890" s="2"/>
      <c r="Y890" s="11">
        <v>6</v>
      </c>
      <c r="Z890" s="12">
        <f t="shared" si="147"/>
        <v>0</v>
      </c>
      <c r="AA890" s="4" t="s">
        <v>27</v>
      </c>
      <c r="AC890" s="176">
        <f t="shared" si="167"/>
        <v>0</v>
      </c>
      <c r="AD890"/>
    </row>
    <row r="891" spans="2:30">
      <c r="B891" s="183">
        <f t="shared" si="148"/>
        <v>44</v>
      </c>
      <c r="C891" s="107" t="str">
        <f t="shared" si="149"/>
        <v>ATK</v>
      </c>
      <c r="D891" s="2" t="s">
        <v>2435</v>
      </c>
      <c r="E891" s="3">
        <v>44005</v>
      </c>
      <c r="F891" s="3">
        <v>44133</v>
      </c>
      <c r="G891" s="108">
        <f t="shared" si="150"/>
        <v>10</v>
      </c>
      <c r="H891" s="108" t="str">
        <f t="shared" si="151"/>
        <v>완료</v>
      </c>
      <c r="I891" s="112" t="s">
        <v>218</v>
      </c>
      <c r="J891" s="4" t="s">
        <v>2436</v>
      </c>
      <c r="K891" s="5" t="s">
        <v>2437</v>
      </c>
      <c r="L891" s="6" t="str">
        <f t="shared" si="146"/>
        <v>2T2</v>
      </c>
      <c r="M891" s="13" t="s">
        <v>256</v>
      </c>
      <c r="N891" s="7" t="s">
        <v>3594</v>
      </c>
      <c r="O891" s="13" t="s">
        <v>1782</v>
      </c>
      <c r="P891" s="115" t="s">
        <v>2438</v>
      </c>
      <c r="Q891" s="8"/>
      <c r="R891" s="2">
        <v>1</v>
      </c>
      <c r="S891" s="9">
        <v>4500</v>
      </c>
      <c r="T891" s="10">
        <f t="shared" si="163"/>
        <v>2250</v>
      </c>
      <c r="U891" s="9">
        <v>10</v>
      </c>
      <c r="V891" s="10">
        <f t="shared" si="164"/>
        <v>2240</v>
      </c>
      <c r="W891" s="4" t="s">
        <v>122</v>
      </c>
      <c r="X891" s="2"/>
      <c r="Y891" s="11">
        <v>8</v>
      </c>
      <c r="Z891" s="12">
        <f t="shared" si="147"/>
        <v>128</v>
      </c>
      <c r="AA891" s="4" t="s">
        <v>2439</v>
      </c>
      <c r="AC891" s="176">
        <f t="shared" si="167"/>
        <v>9.0909090909090905E-3</v>
      </c>
      <c r="AD891"/>
    </row>
    <row r="892" spans="2:30">
      <c r="B892" s="183">
        <f t="shared" si="148"/>
        <v>26</v>
      </c>
      <c r="C892" s="107" t="str">
        <f t="shared" si="149"/>
        <v>ATK</v>
      </c>
      <c r="D892" s="2" t="s">
        <v>2435</v>
      </c>
      <c r="E892" s="3">
        <v>44005</v>
      </c>
      <c r="F892" s="3">
        <v>44006</v>
      </c>
      <c r="G892" s="108">
        <f t="shared" si="150"/>
        <v>6</v>
      </c>
      <c r="H892" s="108" t="str">
        <f t="shared" si="151"/>
        <v>완료</v>
      </c>
      <c r="I892" s="112" t="s">
        <v>218</v>
      </c>
      <c r="J892" s="4" t="s">
        <v>2436</v>
      </c>
      <c r="K892" s="5" t="s">
        <v>2437</v>
      </c>
      <c r="L892" s="6" t="str">
        <f t="shared" si="146"/>
        <v>2T2</v>
      </c>
      <c r="M892" s="13" t="s">
        <v>256</v>
      </c>
      <c r="N892" s="7" t="s">
        <v>3594</v>
      </c>
      <c r="O892" s="13" t="s">
        <v>478</v>
      </c>
      <c r="P892" s="115" t="s">
        <v>479</v>
      </c>
      <c r="Q892" s="8"/>
      <c r="R892" s="2">
        <v>1</v>
      </c>
      <c r="S892" s="9">
        <v>1600</v>
      </c>
      <c r="T892" s="10">
        <f t="shared" si="163"/>
        <v>800</v>
      </c>
      <c r="U892" s="9">
        <v>30</v>
      </c>
      <c r="V892" s="10">
        <f t="shared" si="164"/>
        <v>770</v>
      </c>
      <c r="W892" s="4" t="s">
        <v>122</v>
      </c>
      <c r="X892" s="2"/>
      <c r="Y892" s="11">
        <v>4</v>
      </c>
      <c r="Z892" s="12">
        <f t="shared" si="147"/>
        <v>1</v>
      </c>
      <c r="AA892" s="4" t="s">
        <v>2439</v>
      </c>
      <c r="AC892" s="176">
        <f t="shared" si="167"/>
        <v>2.7272727272727271E-2</v>
      </c>
      <c r="AD892"/>
    </row>
    <row r="893" spans="2:30">
      <c r="B893" s="183">
        <f t="shared" si="148"/>
        <v>26</v>
      </c>
      <c r="C893" s="107" t="str">
        <f t="shared" si="149"/>
        <v>ATK</v>
      </c>
      <c r="D893" s="2" t="s">
        <v>1023</v>
      </c>
      <c r="E893" s="3">
        <v>44005</v>
      </c>
      <c r="F893" s="3">
        <v>44006</v>
      </c>
      <c r="G893" s="108">
        <f t="shared" si="150"/>
        <v>6</v>
      </c>
      <c r="H893" s="108" t="str">
        <f t="shared" si="151"/>
        <v>완료</v>
      </c>
      <c r="I893" s="112" t="s">
        <v>218</v>
      </c>
      <c r="J893" s="4" t="s">
        <v>127</v>
      </c>
      <c r="K893" s="5" t="s">
        <v>131</v>
      </c>
      <c r="L893" s="6" t="str">
        <f t="shared" si="146"/>
        <v>1T4</v>
      </c>
      <c r="M893" s="13" t="s">
        <v>2440</v>
      </c>
      <c r="N893" s="7" t="s">
        <v>3855</v>
      </c>
      <c r="O893" s="13" t="s">
        <v>207</v>
      </c>
      <c r="P893" s="115" t="s">
        <v>2441</v>
      </c>
      <c r="Q893" s="8" t="s">
        <v>2442</v>
      </c>
      <c r="R893" s="2">
        <v>1</v>
      </c>
      <c r="S893" s="9">
        <v>660</v>
      </c>
      <c r="T893" s="10">
        <f t="shared" si="163"/>
        <v>330</v>
      </c>
      <c r="U893" s="9">
        <v>2</v>
      </c>
      <c r="V893" s="10">
        <f t="shared" si="164"/>
        <v>328</v>
      </c>
      <c r="W893" s="4" t="s">
        <v>122</v>
      </c>
      <c r="X893" s="2"/>
      <c r="Y893" s="11">
        <v>3</v>
      </c>
      <c r="Z893" s="12">
        <f t="shared" si="147"/>
        <v>1</v>
      </c>
      <c r="AA893" s="4" t="s">
        <v>120</v>
      </c>
      <c r="AC893" s="176">
        <f t="shared" si="167"/>
        <v>1.8181818181818182E-3</v>
      </c>
      <c r="AD893"/>
    </row>
    <row r="894" spans="2:30">
      <c r="B894" s="183">
        <f t="shared" si="148"/>
        <v>26</v>
      </c>
      <c r="C894" s="107" t="str">
        <f t="shared" si="149"/>
        <v>ATK</v>
      </c>
      <c r="D894" s="2" t="s">
        <v>2443</v>
      </c>
      <c r="E894" s="3">
        <v>44005</v>
      </c>
      <c r="F894" s="3">
        <v>44006</v>
      </c>
      <c r="G894" s="108">
        <f t="shared" si="150"/>
        <v>6</v>
      </c>
      <c r="H894" s="108" t="str">
        <f t="shared" si="151"/>
        <v>완료</v>
      </c>
      <c r="I894" s="112" t="s">
        <v>218</v>
      </c>
      <c r="J894" s="4" t="s">
        <v>118</v>
      </c>
      <c r="K894" s="5" t="s">
        <v>134</v>
      </c>
      <c r="L894" s="6" t="str">
        <f t="shared" si="146"/>
        <v>2T1</v>
      </c>
      <c r="M894" s="13" t="s">
        <v>256</v>
      </c>
      <c r="N894" s="7" t="s">
        <v>3521</v>
      </c>
      <c r="O894" s="13" t="s">
        <v>2444</v>
      </c>
      <c r="P894" s="115" t="s">
        <v>2445</v>
      </c>
      <c r="Q894" s="8"/>
      <c r="R894" s="2">
        <v>1</v>
      </c>
      <c r="S894" s="9">
        <v>3500</v>
      </c>
      <c r="T894" s="10">
        <f t="shared" si="163"/>
        <v>1750</v>
      </c>
      <c r="U894" s="9"/>
      <c r="V894" s="10">
        <f t="shared" si="164"/>
        <v>1750</v>
      </c>
      <c r="W894" s="4" t="s">
        <v>122</v>
      </c>
      <c r="X894" s="2"/>
      <c r="Y894" s="11">
        <v>5</v>
      </c>
      <c r="Z894" s="12">
        <f t="shared" si="147"/>
        <v>1</v>
      </c>
      <c r="AA894" s="4" t="s">
        <v>259</v>
      </c>
      <c r="AC894" s="176">
        <f t="shared" si="167"/>
        <v>0</v>
      </c>
      <c r="AD894"/>
    </row>
    <row r="895" spans="2:30">
      <c r="B895" s="183">
        <f t="shared" si="148"/>
        <v>32</v>
      </c>
      <c r="C895" s="107" t="str">
        <f t="shared" si="149"/>
        <v>ATK</v>
      </c>
      <c r="D895" s="2" t="s">
        <v>2287</v>
      </c>
      <c r="E895" s="3">
        <v>44004</v>
      </c>
      <c r="F895" s="3">
        <v>44047</v>
      </c>
      <c r="G895" s="108">
        <f t="shared" si="150"/>
        <v>8</v>
      </c>
      <c r="H895" s="108" t="str">
        <f t="shared" si="151"/>
        <v>완료</v>
      </c>
      <c r="I895" s="112" t="s">
        <v>218</v>
      </c>
      <c r="J895" s="4" t="s">
        <v>115</v>
      </c>
      <c r="K895" s="5" t="s">
        <v>116</v>
      </c>
      <c r="L895" s="6" t="str">
        <f t="shared" si="146"/>
        <v>EE2</v>
      </c>
      <c r="M895" s="13" t="s">
        <v>1672</v>
      </c>
      <c r="N895" s="7"/>
      <c r="O895" s="13" t="s">
        <v>1320</v>
      </c>
      <c r="P895" s="115" t="s">
        <v>2447</v>
      </c>
      <c r="Q895" s="8"/>
      <c r="R895" s="2">
        <v>1</v>
      </c>
      <c r="S895" s="9">
        <v>5000</v>
      </c>
      <c r="T895" s="10">
        <f t="shared" si="163"/>
        <v>2500</v>
      </c>
      <c r="U895" s="9">
        <v>30</v>
      </c>
      <c r="V895" s="10">
        <f t="shared" si="164"/>
        <v>2470</v>
      </c>
      <c r="W895" s="4" t="s">
        <v>122</v>
      </c>
      <c r="X895" s="2"/>
      <c r="Y895" s="11">
        <v>3</v>
      </c>
      <c r="Z895" s="12">
        <f>F895-E895</f>
        <v>43</v>
      </c>
      <c r="AA895" s="4" t="s">
        <v>117</v>
      </c>
      <c r="AC895" s="176">
        <f t="shared" si="167"/>
        <v>2.7272727272727271E-2</v>
      </c>
      <c r="AD895"/>
    </row>
    <row r="896" spans="2:30">
      <c r="B896" s="183">
        <f t="shared" si="148"/>
        <v>26</v>
      </c>
      <c r="C896" s="107" t="str">
        <f t="shared" si="149"/>
        <v>ATK</v>
      </c>
      <c r="D896" s="2" t="s">
        <v>2448</v>
      </c>
      <c r="E896" s="3">
        <v>44000</v>
      </c>
      <c r="F896" s="3">
        <v>44007</v>
      </c>
      <c r="G896" s="108">
        <f t="shared" si="150"/>
        <v>6</v>
      </c>
      <c r="H896" s="108" t="str">
        <f t="shared" si="151"/>
        <v>완료</v>
      </c>
      <c r="I896" s="112" t="s">
        <v>264</v>
      </c>
      <c r="J896" s="4" t="s">
        <v>2449</v>
      </c>
      <c r="K896" s="5" t="s">
        <v>695</v>
      </c>
      <c r="L896" s="6" t="str">
        <f t="shared" si="146"/>
        <v>2T2</v>
      </c>
      <c r="M896" s="13" t="s">
        <v>256</v>
      </c>
      <c r="N896" s="7" t="s">
        <v>3718</v>
      </c>
      <c r="O896" s="13" t="s">
        <v>482</v>
      </c>
      <c r="P896" s="115" t="s">
        <v>2450</v>
      </c>
      <c r="Q896" s="8"/>
      <c r="R896" s="2">
        <v>2</v>
      </c>
      <c r="S896" s="9">
        <v>1500</v>
      </c>
      <c r="T896" s="10">
        <f t="shared" ref="T896:T899" si="172">(S896*50)/100*R896</f>
        <v>1500</v>
      </c>
      <c r="U896" s="9">
        <v>5</v>
      </c>
      <c r="V896" s="10">
        <f t="shared" ref="V896:V899" si="173">T896-U896</f>
        <v>1495</v>
      </c>
      <c r="W896" s="4" t="s">
        <v>2451</v>
      </c>
      <c r="X896" s="2"/>
      <c r="Y896" s="11">
        <v>3</v>
      </c>
      <c r="Z896" s="12">
        <f t="shared" si="147"/>
        <v>7</v>
      </c>
      <c r="AA896" s="4" t="s">
        <v>2452</v>
      </c>
      <c r="AC896" s="176">
        <f t="shared" si="167"/>
        <v>4.5454545454545452E-3</v>
      </c>
    </row>
    <row r="897" spans="2:29">
      <c r="B897" s="183">
        <f t="shared" si="148"/>
        <v>26</v>
      </c>
      <c r="C897" s="107" t="str">
        <f t="shared" si="149"/>
        <v>ATK</v>
      </c>
      <c r="D897" s="2" t="s">
        <v>2453</v>
      </c>
      <c r="E897" s="3">
        <v>44000</v>
      </c>
      <c r="F897" s="3">
        <v>44007</v>
      </c>
      <c r="G897" s="108">
        <f t="shared" si="150"/>
        <v>6</v>
      </c>
      <c r="H897" s="108" t="str">
        <f t="shared" si="151"/>
        <v>완료</v>
      </c>
      <c r="I897" s="112" t="s">
        <v>264</v>
      </c>
      <c r="J897" s="4" t="s">
        <v>2454</v>
      </c>
      <c r="K897" s="5" t="s">
        <v>833</v>
      </c>
      <c r="L897" s="6" t="str">
        <f t="shared" si="146"/>
        <v>1T3</v>
      </c>
      <c r="M897" s="13" t="s">
        <v>256</v>
      </c>
      <c r="N897" s="7" t="s">
        <v>3718</v>
      </c>
      <c r="O897" s="13" t="s">
        <v>482</v>
      </c>
      <c r="P897" s="115" t="s">
        <v>2450</v>
      </c>
      <c r="Q897" s="8"/>
      <c r="R897" s="2">
        <v>2</v>
      </c>
      <c r="S897" s="9">
        <v>1500</v>
      </c>
      <c r="T897" s="10">
        <f t="shared" ref="T897" si="174">(S897*50)/100*R897</f>
        <v>1500</v>
      </c>
      <c r="U897" s="9">
        <v>5</v>
      </c>
      <c r="V897" s="10">
        <f t="shared" ref="V897" si="175">T897-U897</f>
        <v>1495</v>
      </c>
      <c r="W897" s="4" t="s">
        <v>2451</v>
      </c>
      <c r="X897" s="2"/>
      <c r="Y897" s="11">
        <v>3</v>
      </c>
      <c r="Z897" s="12">
        <f t="shared" si="147"/>
        <v>7</v>
      </c>
      <c r="AA897" s="4" t="s">
        <v>2452</v>
      </c>
      <c r="AC897" s="176">
        <f t="shared" si="167"/>
        <v>4.5454545454545452E-3</v>
      </c>
    </row>
    <row r="898" spans="2:29">
      <c r="B898" s="183">
        <f t="shared" si="148"/>
        <v>26</v>
      </c>
      <c r="C898" s="107" t="str">
        <f t="shared" si="149"/>
        <v>ATK</v>
      </c>
      <c r="D898" s="2" t="s">
        <v>2455</v>
      </c>
      <c r="E898" s="3">
        <v>44007</v>
      </c>
      <c r="F898" s="3">
        <v>44007</v>
      </c>
      <c r="G898" s="108">
        <f t="shared" si="150"/>
        <v>6</v>
      </c>
      <c r="H898" s="108" t="str">
        <f t="shared" si="151"/>
        <v>완료</v>
      </c>
      <c r="I898" s="112" t="s">
        <v>218</v>
      </c>
      <c r="J898" s="4" t="s">
        <v>115</v>
      </c>
      <c r="K898" s="5" t="s">
        <v>138</v>
      </c>
      <c r="L898" s="6" t="str">
        <f t="shared" ref="L898:L961" si="176">LEFT(K898,3)</f>
        <v>EE1</v>
      </c>
      <c r="M898" s="13" t="s">
        <v>1894</v>
      </c>
      <c r="N898" s="7"/>
      <c r="O898" s="13" t="s">
        <v>2236</v>
      </c>
      <c r="P898" s="115" t="s">
        <v>2456</v>
      </c>
      <c r="Q898" s="8"/>
      <c r="R898" s="2">
        <v>2</v>
      </c>
      <c r="S898" s="9">
        <v>2500</v>
      </c>
      <c r="T898" s="10">
        <f t="shared" si="172"/>
        <v>2500</v>
      </c>
      <c r="U898" s="9"/>
      <c r="V898" s="10">
        <f t="shared" si="173"/>
        <v>2500</v>
      </c>
      <c r="W898" s="4" t="s">
        <v>122</v>
      </c>
      <c r="X898" s="2"/>
      <c r="Y898" s="11">
        <v>8</v>
      </c>
      <c r="Z898" s="12">
        <f t="shared" ref="Z898:Z961" si="177">F898-E898</f>
        <v>0</v>
      </c>
      <c r="AA898" s="4" t="s">
        <v>259</v>
      </c>
      <c r="AC898" s="176">
        <f t="shared" si="167"/>
        <v>0</v>
      </c>
    </row>
    <row r="899" spans="2:29">
      <c r="B899" s="183">
        <f t="shared" ref="B899:B962" si="178">IF(F899&gt;0,IFERROR(WEEKNUM(F899),""),"")</f>
        <v>26</v>
      </c>
      <c r="C899" s="107" t="str">
        <f t="shared" ref="C899:C962" si="179">IF(D899=0,"",(IF(LEFT(D899,3)="ATK","ATK",IF(LEFT(D899,2)="AT",D899,"ATK"))))</f>
        <v>ATK</v>
      </c>
      <c r="D899" s="2" t="s">
        <v>2459</v>
      </c>
      <c r="E899" s="3">
        <v>44008</v>
      </c>
      <c r="F899" s="3">
        <v>44008</v>
      </c>
      <c r="G899" s="108">
        <f t="shared" ref="G899:G962" si="180">IF(F899&gt;0,MONTH(F899),"")</f>
        <v>6</v>
      </c>
      <c r="H899" s="108" t="str">
        <f t="shared" ref="H899:H962" si="181">IF(I899=0,"",IF(RIGHT(I899,2)="완료","완료",IF(RIGHT(I899,2)="불가","수리불가",IF(RIGHT(I899,1)="중","수리중","Other"))))</f>
        <v>완료</v>
      </c>
      <c r="I899" s="112" t="s">
        <v>218</v>
      </c>
      <c r="J899" s="4" t="s">
        <v>303</v>
      </c>
      <c r="K899" s="5" t="s">
        <v>303</v>
      </c>
      <c r="L899" s="6" t="str">
        <f t="shared" si="176"/>
        <v>K5</v>
      </c>
      <c r="M899" s="13" t="s">
        <v>226</v>
      </c>
      <c r="N899" s="7" t="s">
        <v>3852</v>
      </c>
      <c r="O899" s="13" t="s">
        <v>786</v>
      </c>
      <c r="P899" s="115" t="s">
        <v>2410</v>
      </c>
      <c r="Q899" s="8"/>
      <c r="R899" s="2">
        <v>1</v>
      </c>
      <c r="S899" s="9">
        <v>1200</v>
      </c>
      <c r="T899" s="10">
        <f t="shared" si="172"/>
        <v>600</v>
      </c>
      <c r="U899" s="9">
        <v>10</v>
      </c>
      <c r="V899" s="10">
        <f t="shared" si="173"/>
        <v>590</v>
      </c>
      <c r="W899" s="4" t="s">
        <v>122</v>
      </c>
      <c r="X899" s="2"/>
      <c r="Y899" s="11">
        <v>2</v>
      </c>
      <c r="Z899" s="12">
        <f t="shared" si="177"/>
        <v>0</v>
      </c>
      <c r="AA899" s="4" t="s">
        <v>27</v>
      </c>
      <c r="AC899" s="176">
        <f t="shared" si="167"/>
        <v>9.0909090909090905E-3</v>
      </c>
    </row>
    <row r="900" spans="2:29">
      <c r="B900" s="183">
        <f t="shared" si="178"/>
        <v>26</v>
      </c>
      <c r="C900" s="107" t="str">
        <f t="shared" si="179"/>
        <v>ATK</v>
      </c>
      <c r="D900" s="2" t="s">
        <v>2460</v>
      </c>
      <c r="E900" s="3">
        <v>44007</v>
      </c>
      <c r="F900" s="3">
        <v>44008</v>
      </c>
      <c r="G900" s="108">
        <f t="shared" si="180"/>
        <v>6</v>
      </c>
      <c r="H900" s="108" t="str">
        <f t="shared" si="181"/>
        <v>완료</v>
      </c>
      <c r="I900" s="112" t="s">
        <v>218</v>
      </c>
      <c r="J900" s="4" t="s">
        <v>118</v>
      </c>
      <c r="K900" s="5" t="s">
        <v>137</v>
      </c>
      <c r="L900" s="6" t="str">
        <f t="shared" si="176"/>
        <v>2T2</v>
      </c>
      <c r="M900" s="13" t="s">
        <v>256</v>
      </c>
      <c r="N900" s="7" t="s">
        <v>3529</v>
      </c>
      <c r="O900" s="13" t="s">
        <v>482</v>
      </c>
      <c r="P900" s="115" t="s">
        <v>2461</v>
      </c>
      <c r="Q900" s="8"/>
      <c r="R900" s="2">
        <v>1</v>
      </c>
      <c r="S900" s="9">
        <v>1600</v>
      </c>
      <c r="T900" s="10">
        <f t="shared" ref="T900:T938" si="182">(S900*50)/100*R900</f>
        <v>800</v>
      </c>
      <c r="U900" s="9">
        <v>10</v>
      </c>
      <c r="V900" s="10">
        <f t="shared" ref="V900:V938" si="183">T900-U900</f>
        <v>790</v>
      </c>
      <c r="W900" s="4" t="s">
        <v>122</v>
      </c>
      <c r="X900" s="2"/>
      <c r="Y900" s="11">
        <v>2</v>
      </c>
      <c r="Z900" s="12">
        <f t="shared" si="177"/>
        <v>1</v>
      </c>
      <c r="AA900" s="4" t="s">
        <v>2462</v>
      </c>
      <c r="AC900" s="176">
        <f t="shared" si="167"/>
        <v>9.0909090909090905E-3</v>
      </c>
    </row>
    <row r="901" spans="2:29">
      <c r="B901" s="183">
        <f t="shared" si="178"/>
        <v>26</v>
      </c>
      <c r="C901" s="107" t="str">
        <f t="shared" si="179"/>
        <v>ATK</v>
      </c>
      <c r="D901" s="2" t="s">
        <v>2463</v>
      </c>
      <c r="E901" s="3">
        <v>44008</v>
      </c>
      <c r="F901" s="3">
        <v>44008</v>
      </c>
      <c r="G901" s="108">
        <f t="shared" si="180"/>
        <v>6</v>
      </c>
      <c r="H901" s="108" t="str">
        <f t="shared" si="181"/>
        <v>완료</v>
      </c>
      <c r="I901" s="112" t="s">
        <v>218</v>
      </c>
      <c r="J901" s="4" t="s">
        <v>243</v>
      </c>
      <c r="K901" s="5" t="s">
        <v>243</v>
      </c>
      <c r="L901" s="6" t="str">
        <f t="shared" si="176"/>
        <v>K5</v>
      </c>
      <c r="M901" s="13" t="s">
        <v>2464</v>
      </c>
      <c r="N901" s="7" t="s">
        <v>3856</v>
      </c>
      <c r="O901" s="13" t="s">
        <v>270</v>
      </c>
      <c r="P901" s="115" t="s">
        <v>2465</v>
      </c>
      <c r="Q901" s="8" t="s">
        <v>2466</v>
      </c>
      <c r="R901" s="2">
        <v>1</v>
      </c>
      <c r="S901" s="9">
        <v>120</v>
      </c>
      <c r="T901" s="10">
        <f t="shared" si="182"/>
        <v>60</v>
      </c>
      <c r="U901" s="9">
        <v>1</v>
      </c>
      <c r="V901" s="10">
        <f t="shared" si="183"/>
        <v>59</v>
      </c>
      <c r="W901" s="4" t="s">
        <v>122</v>
      </c>
      <c r="X901" s="2"/>
      <c r="Y901" s="11">
        <v>3</v>
      </c>
      <c r="Z901" s="12">
        <f t="shared" si="177"/>
        <v>0</v>
      </c>
      <c r="AA901" s="4" t="s">
        <v>120</v>
      </c>
      <c r="AC901" s="176">
        <f t="shared" si="167"/>
        <v>9.0909090909090909E-4</v>
      </c>
    </row>
    <row r="902" spans="2:29">
      <c r="B902" s="183">
        <f t="shared" si="178"/>
        <v>26</v>
      </c>
      <c r="C902" s="107" t="str">
        <f t="shared" si="179"/>
        <v>ATK</v>
      </c>
      <c r="D902" s="2" t="s">
        <v>2467</v>
      </c>
      <c r="E902" s="3">
        <v>44008</v>
      </c>
      <c r="F902" s="3">
        <v>44008</v>
      </c>
      <c r="G902" s="108">
        <f t="shared" si="180"/>
        <v>6</v>
      </c>
      <c r="H902" s="108" t="str">
        <f t="shared" si="181"/>
        <v>완료</v>
      </c>
      <c r="I902" s="112" t="s">
        <v>218</v>
      </c>
      <c r="J902" s="4" t="s">
        <v>132</v>
      </c>
      <c r="K902" s="5" t="s">
        <v>143</v>
      </c>
      <c r="L902" s="6" t="str">
        <f t="shared" si="176"/>
        <v>3T4</v>
      </c>
      <c r="M902" s="13" t="s">
        <v>2468</v>
      </c>
      <c r="N902" s="7" t="s">
        <v>3528</v>
      </c>
      <c r="O902" s="13" t="s">
        <v>367</v>
      </c>
      <c r="P902" s="115" t="s">
        <v>2469</v>
      </c>
      <c r="Q902" s="8"/>
      <c r="R902" s="2">
        <v>2</v>
      </c>
      <c r="S902" s="9">
        <v>1500</v>
      </c>
      <c r="T902" s="10">
        <f t="shared" si="182"/>
        <v>1500</v>
      </c>
      <c r="U902" s="9">
        <v>50</v>
      </c>
      <c r="V902" s="10">
        <f t="shared" si="183"/>
        <v>1450</v>
      </c>
      <c r="W902" s="4" t="s">
        <v>122</v>
      </c>
      <c r="X902" s="2"/>
      <c r="Y902" s="11">
        <v>8</v>
      </c>
      <c r="Z902" s="12">
        <f t="shared" si="177"/>
        <v>0</v>
      </c>
      <c r="AA902" s="4" t="s">
        <v>259</v>
      </c>
      <c r="AC902" s="176">
        <f t="shared" si="167"/>
        <v>4.5454545454545456E-2</v>
      </c>
    </row>
    <row r="903" spans="2:29">
      <c r="B903" s="183">
        <f t="shared" si="178"/>
        <v>26</v>
      </c>
      <c r="C903" s="107" t="str">
        <f t="shared" si="179"/>
        <v>ATK</v>
      </c>
      <c r="D903" s="2" t="s">
        <v>223</v>
      </c>
      <c r="E903" s="3">
        <v>44007</v>
      </c>
      <c r="F903" s="3">
        <v>44008</v>
      </c>
      <c r="G903" s="108">
        <f t="shared" si="180"/>
        <v>6</v>
      </c>
      <c r="H903" s="108" t="str">
        <f t="shared" si="181"/>
        <v>완료</v>
      </c>
      <c r="I903" s="112" t="s">
        <v>218</v>
      </c>
      <c r="J903" s="4" t="s">
        <v>804</v>
      </c>
      <c r="K903" s="5" t="s">
        <v>1091</v>
      </c>
      <c r="L903" s="6" t="str">
        <f t="shared" si="176"/>
        <v>5T2</v>
      </c>
      <c r="M903" s="13" t="s">
        <v>2470</v>
      </c>
      <c r="N903" s="7" t="s">
        <v>3857</v>
      </c>
      <c r="O903" s="7" t="s">
        <v>2471</v>
      </c>
      <c r="P903" s="115" t="s">
        <v>2472</v>
      </c>
      <c r="Q903" s="8"/>
      <c r="R903" s="2">
        <v>1</v>
      </c>
      <c r="S903" s="9">
        <v>250</v>
      </c>
      <c r="T903" s="10">
        <f t="shared" si="182"/>
        <v>125</v>
      </c>
      <c r="U903" s="9">
        <v>2</v>
      </c>
      <c r="V903" s="10">
        <f t="shared" si="183"/>
        <v>123</v>
      </c>
      <c r="W903" s="4" t="s">
        <v>122</v>
      </c>
      <c r="X903" s="2"/>
      <c r="Y903" s="11">
        <v>5</v>
      </c>
      <c r="Z903" s="12">
        <f t="shared" si="177"/>
        <v>1</v>
      </c>
      <c r="AA903" s="4" t="s">
        <v>212</v>
      </c>
      <c r="AC903" s="176">
        <f t="shared" si="167"/>
        <v>1.8181818181818182E-3</v>
      </c>
    </row>
    <row r="904" spans="2:29">
      <c r="B904" s="183">
        <f t="shared" si="178"/>
        <v>26</v>
      </c>
      <c r="C904" s="107" t="str">
        <f t="shared" si="179"/>
        <v>ATK</v>
      </c>
      <c r="D904" s="2" t="s">
        <v>2473</v>
      </c>
      <c r="E904" s="3">
        <v>44008</v>
      </c>
      <c r="F904" s="3">
        <v>44008</v>
      </c>
      <c r="G904" s="108">
        <f t="shared" si="180"/>
        <v>6</v>
      </c>
      <c r="H904" s="108" t="str">
        <f t="shared" si="181"/>
        <v>완료</v>
      </c>
      <c r="I904" s="112" t="s">
        <v>218</v>
      </c>
      <c r="J904" s="4" t="s">
        <v>118</v>
      </c>
      <c r="K904" s="5" t="s">
        <v>137</v>
      </c>
      <c r="L904" s="6" t="str">
        <f t="shared" si="176"/>
        <v>2T2</v>
      </c>
      <c r="M904" s="13" t="s">
        <v>193</v>
      </c>
      <c r="N904" s="7" t="s">
        <v>3488</v>
      </c>
      <c r="O904" s="13" t="s">
        <v>194</v>
      </c>
      <c r="P904" s="115"/>
      <c r="Q904" s="8"/>
      <c r="R904" s="2">
        <v>1</v>
      </c>
      <c r="S904" s="9">
        <v>400</v>
      </c>
      <c r="T904" s="10">
        <f t="shared" si="182"/>
        <v>200</v>
      </c>
      <c r="U904" s="9">
        <v>2</v>
      </c>
      <c r="V904" s="10">
        <f t="shared" si="183"/>
        <v>198</v>
      </c>
      <c r="W904" s="4" t="s">
        <v>122</v>
      </c>
      <c r="X904" s="2"/>
      <c r="Y904" s="11">
        <v>3</v>
      </c>
      <c r="Z904" s="12">
        <f t="shared" si="177"/>
        <v>0</v>
      </c>
      <c r="AA904" s="4" t="s">
        <v>120</v>
      </c>
      <c r="AC904" s="176">
        <f t="shared" si="167"/>
        <v>1.8181818181818182E-3</v>
      </c>
    </row>
    <row r="905" spans="2:29">
      <c r="B905" s="183">
        <f t="shared" si="178"/>
        <v>26</v>
      </c>
      <c r="C905" s="107" t="str">
        <f t="shared" si="179"/>
        <v>ATK</v>
      </c>
      <c r="D905" s="2" t="s">
        <v>2473</v>
      </c>
      <c r="E905" s="3">
        <v>44008</v>
      </c>
      <c r="F905" s="3">
        <v>44008</v>
      </c>
      <c r="G905" s="108">
        <f t="shared" si="180"/>
        <v>6</v>
      </c>
      <c r="H905" s="108" t="str">
        <f t="shared" si="181"/>
        <v>완료</v>
      </c>
      <c r="I905" s="112" t="s">
        <v>218</v>
      </c>
      <c r="J905" s="4" t="s">
        <v>118</v>
      </c>
      <c r="K905" s="5" t="s">
        <v>137</v>
      </c>
      <c r="L905" s="6" t="str">
        <f t="shared" si="176"/>
        <v>2T2</v>
      </c>
      <c r="M905" s="13" t="s">
        <v>2487</v>
      </c>
      <c r="N905" s="7" t="s">
        <v>3858</v>
      </c>
      <c r="O905" s="13" t="s">
        <v>2474</v>
      </c>
      <c r="P905" s="115" t="s">
        <v>2475</v>
      </c>
      <c r="Q905" s="8"/>
      <c r="R905" s="2">
        <v>1</v>
      </c>
      <c r="S905" s="9">
        <v>4600</v>
      </c>
      <c r="T905" s="10">
        <f t="shared" si="182"/>
        <v>2300</v>
      </c>
      <c r="U905" s="9">
        <v>0</v>
      </c>
      <c r="V905" s="10">
        <f t="shared" si="183"/>
        <v>2300</v>
      </c>
      <c r="W905" s="4" t="s">
        <v>122</v>
      </c>
      <c r="X905" s="2"/>
      <c r="Y905" s="11">
        <v>2</v>
      </c>
      <c r="Z905" s="12">
        <f t="shared" si="177"/>
        <v>0</v>
      </c>
      <c r="AA905" s="4" t="s">
        <v>120</v>
      </c>
      <c r="AC905" s="176">
        <f t="shared" si="167"/>
        <v>0</v>
      </c>
    </row>
    <row r="906" spans="2:29">
      <c r="B906" s="183">
        <f t="shared" si="178"/>
        <v>26</v>
      </c>
      <c r="C906" s="107" t="str">
        <f t="shared" si="179"/>
        <v>ATK</v>
      </c>
      <c r="D906" s="2" t="s">
        <v>2479</v>
      </c>
      <c r="E906" s="3">
        <v>44008</v>
      </c>
      <c r="F906" s="3">
        <v>44008</v>
      </c>
      <c r="G906" s="108">
        <f t="shared" si="180"/>
        <v>6</v>
      </c>
      <c r="H906" s="108" t="str">
        <f t="shared" si="181"/>
        <v>완료</v>
      </c>
      <c r="I906" s="112" t="s">
        <v>218</v>
      </c>
      <c r="J906" s="4" t="s">
        <v>139</v>
      </c>
      <c r="K906" s="5" t="s">
        <v>466</v>
      </c>
      <c r="L906" s="6" t="str">
        <f t="shared" si="176"/>
        <v>6T2</v>
      </c>
      <c r="M906" s="13" t="s">
        <v>2476</v>
      </c>
      <c r="N906" s="7" t="s">
        <v>3859</v>
      </c>
      <c r="O906" s="13" t="s">
        <v>2477</v>
      </c>
      <c r="P906" s="115" t="s">
        <v>2478</v>
      </c>
      <c r="Q906" s="8"/>
      <c r="R906" s="2">
        <v>1</v>
      </c>
      <c r="S906" s="9">
        <v>10000</v>
      </c>
      <c r="T906" s="10">
        <v>5000</v>
      </c>
      <c r="U906" s="9">
        <v>5</v>
      </c>
      <c r="V906" s="10">
        <v>4995</v>
      </c>
      <c r="W906" s="4" t="s">
        <v>122</v>
      </c>
      <c r="X906" s="2"/>
      <c r="Y906" s="11">
        <v>6</v>
      </c>
      <c r="Z906" s="12">
        <f t="shared" si="177"/>
        <v>0</v>
      </c>
      <c r="AA906" s="4" t="s">
        <v>175</v>
      </c>
      <c r="AC906" s="176">
        <f t="shared" si="167"/>
        <v>4.5454545454545452E-3</v>
      </c>
    </row>
    <row r="907" spans="2:29">
      <c r="B907" s="183">
        <f t="shared" si="178"/>
        <v>26</v>
      </c>
      <c r="C907" s="107" t="str">
        <f t="shared" si="179"/>
        <v>ATK</v>
      </c>
      <c r="D907" s="2" t="s">
        <v>2480</v>
      </c>
      <c r="E907" s="3">
        <v>44008</v>
      </c>
      <c r="F907" s="3">
        <v>44008</v>
      </c>
      <c r="G907" s="108">
        <f t="shared" si="180"/>
        <v>6</v>
      </c>
      <c r="H907" s="108" t="str">
        <f t="shared" si="181"/>
        <v>완료</v>
      </c>
      <c r="I907" s="112" t="s">
        <v>2481</v>
      </c>
      <c r="J907" s="4" t="s">
        <v>2482</v>
      </c>
      <c r="K907" s="5" t="s">
        <v>209</v>
      </c>
      <c r="L907" s="6" t="str">
        <f t="shared" si="176"/>
        <v>1T2</v>
      </c>
      <c r="M907" s="13" t="s">
        <v>2483</v>
      </c>
      <c r="N907" s="7" t="s">
        <v>3631</v>
      </c>
      <c r="O907" s="13" t="s">
        <v>2241</v>
      </c>
      <c r="P907" s="115" t="s">
        <v>2484</v>
      </c>
      <c r="Q907" s="8"/>
      <c r="R907" s="2">
        <v>1</v>
      </c>
      <c r="S907" s="9">
        <v>710</v>
      </c>
      <c r="T907" s="10">
        <f t="shared" si="182"/>
        <v>355</v>
      </c>
      <c r="U907" s="9">
        <v>25</v>
      </c>
      <c r="V907" s="10">
        <f t="shared" si="183"/>
        <v>330</v>
      </c>
      <c r="W907" s="4" t="s">
        <v>2485</v>
      </c>
      <c r="X907" s="2"/>
      <c r="Y907" s="11">
        <v>2</v>
      </c>
      <c r="Z907" s="12">
        <f t="shared" si="177"/>
        <v>0</v>
      </c>
      <c r="AA907" s="4" t="s">
        <v>2486</v>
      </c>
      <c r="AC907" s="176">
        <f t="shared" si="167"/>
        <v>2.2727272727272728E-2</v>
      </c>
    </row>
    <row r="908" spans="2:29">
      <c r="B908" s="183">
        <f t="shared" si="178"/>
        <v>26</v>
      </c>
      <c r="C908" s="107" t="str">
        <f t="shared" si="179"/>
        <v>ATK</v>
      </c>
      <c r="D908" s="2" t="s">
        <v>2489</v>
      </c>
      <c r="E908" s="3">
        <v>44008</v>
      </c>
      <c r="F908" s="3">
        <v>44008</v>
      </c>
      <c r="G908" s="108">
        <f t="shared" si="180"/>
        <v>6</v>
      </c>
      <c r="H908" s="108" t="str">
        <f t="shared" si="181"/>
        <v>완료</v>
      </c>
      <c r="I908" s="112" t="s">
        <v>264</v>
      </c>
      <c r="J908" s="4" t="s">
        <v>2490</v>
      </c>
      <c r="K908" s="5" t="s">
        <v>2491</v>
      </c>
      <c r="L908" s="6" t="str">
        <f t="shared" si="176"/>
        <v>EE1</v>
      </c>
      <c r="M908" s="13" t="s">
        <v>1143</v>
      </c>
      <c r="N908" s="7" t="s">
        <v>140</v>
      </c>
      <c r="O908" s="13" t="s">
        <v>2488</v>
      </c>
      <c r="P908" s="115" t="s">
        <v>129</v>
      </c>
      <c r="Q908" s="8"/>
      <c r="R908" s="2">
        <v>1</v>
      </c>
      <c r="S908" s="9">
        <v>3000</v>
      </c>
      <c r="T908" s="10">
        <f t="shared" si="182"/>
        <v>1500</v>
      </c>
      <c r="U908" s="9">
        <v>20</v>
      </c>
      <c r="V908" s="10">
        <f t="shared" si="183"/>
        <v>1480</v>
      </c>
      <c r="W908" s="4" t="s">
        <v>249</v>
      </c>
      <c r="X908" s="2"/>
      <c r="Y908" s="11">
        <v>4</v>
      </c>
      <c r="Z908" s="12">
        <f t="shared" si="177"/>
        <v>0</v>
      </c>
      <c r="AA908" s="4" t="s">
        <v>2492</v>
      </c>
      <c r="AC908" s="176">
        <f t="shared" si="167"/>
        <v>1.8181818181818181E-2</v>
      </c>
    </row>
    <row r="909" spans="2:29">
      <c r="B909" s="183">
        <f t="shared" si="178"/>
        <v>27</v>
      </c>
      <c r="C909" s="107" t="str">
        <f t="shared" si="179"/>
        <v>ATK</v>
      </c>
      <c r="D909" s="2" t="s">
        <v>2493</v>
      </c>
      <c r="E909" s="3">
        <v>44011</v>
      </c>
      <c r="F909" s="3">
        <v>44011</v>
      </c>
      <c r="G909" s="108">
        <f t="shared" si="180"/>
        <v>6</v>
      </c>
      <c r="H909" s="108" t="str">
        <f t="shared" si="181"/>
        <v>Other</v>
      </c>
      <c r="I909" s="112" t="s">
        <v>2494</v>
      </c>
      <c r="J909" s="4" t="s">
        <v>132</v>
      </c>
      <c r="K909" s="5" t="s">
        <v>133</v>
      </c>
      <c r="L909" s="6" t="str">
        <f t="shared" si="176"/>
        <v>3T3</v>
      </c>
      <c r="M909" s="13" t="s">
        <v>2495</v>
      </c>
      <c r="N909" s="7" t="s">
        <v>3598</v>
      </c>
      <c r="O909" s="13" t="s">
        <v>270</v>
      </c>
      <c r="P909" s="115" t="s">
        <v>2496</v>
      </c>
      <c r="Q909" s="8"/>
      <c r="R909" s="2">
        <v>1</v>
      </c>
      <c r="S909" s="9">
        <v>1500</v>
      </c>
      <c r="T909" s="10">
        <f t="shared" si="182"/>
        <v>750</v>
      </c>
      <c r="U909" s="9">
        <v>0</v>
      </c>
      <c r="V909" s="10">
        <f t="shared" si="183"/>
        <v>750</v>
      </c>
      <c r="W909" s="4" t="s">
        <v>2497</v>
      </c>
      <c r="X909" s="2"/>
      <c r="Y909" s="11">
        <v>2</v>
      </c>
      <c r="Z909" s="12">
        <f t="shared" si="177"/>
        <v>0</v>
      </c>
      <c r="AA909" s="4" t="s">
        <v>2498</v>
      </c>
      <c r="AC909" s="176">
        <f t="shared" si="167"/>
        <v>0</v>
      </c>
    </row>
    <row r="910" spans="2:29">
      <c r="B910" s="183">
        <f t="shared" si="178"/>
        <v>27</v>
      </c>
      <c r="C910" s="107" t="str">
        <f t="shared" si="179"/>
        <v>ATK</v>
      </c>
      <c r="D910" s="2" t="s">
        <v>2499</v>
      </c>
      <c r="E910" s="3">
        <v>44011</v>
      </c>
      <c r="F910" s="3">
        <v>44011</v>
      </c>
      <c r="G910" s="108">
        <f t="shared" si="180"/>
        <v>6</v>
      </c>
      <c r="H910" s="108" t="str">
        <f t="shared" si="181"/>
        <v>완료</v>
      </c>
      <c r="I910" s="112" t="s">
        <v>2228</v>
      </c>
      <c r="J910" s="4" t="s">
        <v>2500</v>
      </c>
      <c r="K910" s="5" t="s">
        <v>1098</v>
      </c>
      <c r="L910" s="6" t="str">
        <f t="shared" si="176"/>
        <v>5T2</v>
      </c>
      <c r="M910" s="13" t="s">
        <v>270</v>
      </c>
      <c r="N910" s="7" t="s">
        <v>3860</v>
      </c>
      <c r="O910" s="13" t="s">
        <v>270</v>
      </c>
      <c r="P910" s="115" t="s">
        <v>2501</v>
      </c>
      <c r="Q910" s="8"/>
      <c r="R910" s="2">
        <v>1</v>
      </c>
      <c r="S910" s="9">
        <v>700</v>
      </c>
      <c r="T910" s="10">
        <f t="shared" si="182"/>
        <v>350</v>
      </c>
      <c r="U910" s="9">
        <v>0</v>
      </c>
      <c r="V910" s="10">
        <f t="shared" si="183"/>
        <v>350</v>
      </c>
      <c r="W910" s="4" t="s">
        <v>2497</v>
      </c>
      <c r="X910" s="2"/>
      <c r="Y910" s="11">
        <v>2</v>
      </c>
      <c r="Z910" s="12">
        <f t="shared" si="177"/>
        <v>0</v>
      </c>
      <c r="AA910" s="4" t="s">
        <v>2498</v>
      </c>
      <c r="AC910" s="176">
        <f t="shared" si="167"/>
        <v>0</v>
      </c>
    </row>
    <row r="911" spans="2:29">
      <c r="B911" s="183">
        <f t="shared" si="178"/>
        <v>27</v>
      </c>
      <c r="C911" s="107" t="str">
        <f t="shared" si="179"/>
        <v>ATK</v>
      </c>
      <c r="D911" s="2" t="s">
        <v>2502</v>
      </c>
      <c r="E911" s="3">
        <v>44011</v>
      </c>
      <c r="F911" s="3">
        <v>44011</v>
      </c>
      <c r="G911" s="108">
        <f t="shared" si="180"/>
        <v>6</v>
      </c>
      <c r="H911" s="108" t="str">
        <f t="shared" si="181"/>
        <v>완료</v>
      </c>
      <c r="I911" s="112" t="s">
        <v>218</v>
      </c>
      <c r="J911" s="4" t="s">
        <v>132</v>
      </c>
      <c r="K911" s="5" t="s">
        <v>133</v>
      </c>
      <c r="L911" s="6" t="str">
        <f t="shared" si="176"/>
        <v>3T3</v>
      </c>
      <c r="M911" s="13" t="s">
        <v>454</v>
      </c>
      <c r="N911" s="7" t="s">
        <v>140</v>
      </c>
      <c r="O911" s="13" t="s">
        <v>286</v>
      </c>
      <c r="P911" s="115"/>
      <c r="Q911" s="8"/>
      <c r="R911" s="2">
        <v>1</v>
      </c>
      <c r="S911" s="9">
        <v>400</v>
      </c>
      <c r="T911" s="10">
        <f t="shared" si="182"/>
        <v>200</v>
      </c>
      <c r="U911" s="9">
        <v>2</v>
      </c>
      <c r="V911" s="10">
        <f t="shared" si="183"/>
        <v>198</v>
      </c>
      <c r="W911" s="4" t="s">
        <v>122</v>
      </c>
      <c r="X911" s="2"/>
      <c r="Y911" s="11">
        <v>1</v>
      </c>
      <c r="Z911" s="12">
        <f t="shared" si="177"/>
        <v>0</v>
      </c>
      <c r="AA911" s="4" t="s">
        <v>117</v>
      </c>
      <c r="AC911" s="176">
        <f t="shared" si="167"/>
        <v>1.8181818181818182E-3</v>
      </c>
    </row>
    <row r="912" spans="2:29">
      <c r="B912" s="183">
        <f t="shared" si="178"/>
        <v>27</v>
      </c>
      <c r="C912" s="107" t="str">
        <f t="shared" si="179"/>
        <v>ATK</v>
      </c>
      <c r="D912" s="2" t="s">
        <v>845</v>
      </c>
      <c r="E912" s="3">
        <v>44011</v>
      </c>
      <c r="F912" s="3">
        <v>44011</v>
      </c>
      <c r="G912" s="108">
        <f t="shared" si="180"/>
        <v>6</v>
      </c>
      <c r="H912" s="108" t="str">
        <f t="shared" si="181"/>
        <v>완료</v>
      </c>
      <c r="I912" s="112" t="s">
        <v>218</v>
      </c>
      <c r="J912" s="4" t="s">
        <v>132</v>
      </c>
      <c r="K912" s="5" t="s">
        <v>133</v>
      </c>
      <c r="L912" s="6" t="str">
        <f t="shared" si="176"/>
        <v>3T3</v>
      </c>
      <c r="M912" s="13" t="s">
        <v>454</v>
      </c>
      <c r="N912" s="7" t="s">
        <v>3861</v>
      </c>
      <c r="O912" s="13" t="s">
        <v>2503</v>
      </c>
      <c r="P912" s="115"/>
      <c r="Q912" s="8"/>
      <c r="R912" s="2">
        <v>1</v>
      </c>
      <c r="S912" s="9">
        <v>1600</v>
      </c>
      <c r="T912" s="10">
        <f t="shared" si="182"/>
        <v>800</v>
      </c>
      <c r="U912" s="9">
        <v>15</v>
      </c>
      <c r="V912" s="10">
        <f t="shared" si="183"/>
        <v>785</v>
      </c>
      <c r="W912" s="4" t="s">
        <v>122</v>
      </c>
      <c r="X912" s="2"/>
      <c r="Y912" s="11">
        <v>2</v>
      </c>
      <c r="Z912" s="12">
        <f t="shared" si="177"/>
        <v>0</v>
      </c>
      <c r="AA912" s="4" t="s">
        <v>117</v>
      </c>
      <c r="AC912" s="176">
        <f t="shared" si="167"/>
        <v>1.3636363636363636E-2</v>
      </c>
    </row>
    <row r="913" spans="2:29">
      <c r="B913" s="183">
        <f t="shared" si="178"/>
        <v>27</v>
      </c>
      <c r="C913" s="107" t="str">
        <f t="shared" si="179"/>
        <v>ATK</v>
      </c>
      <c r="D913" s="2" t="s">
        <v>2504</v>
      </c>
      <c r="E913" s="3">
        <v>44011</v>
      </c>
      <c r="F913" s="3">
        <v>44011</v>
      </c>
      <c r="G913" s="108">
        <f t="shared" si="180"/>
        <v>6</v>
      </c>
      <c r="H913" s="108" t="str">
        <f t="shared" si="181"/>
        <v>완료</v>
      </c>
      <c r="I913" s="112" t="s">
        <v>218</v>
      </c>
      <c r="J913" s="4" t="s">
        <v>132</v>
      </c>
      <c r="K913" s="5" t="s">
        <v>1193</v>
      </c>
      <c r="L913" s="6" t="str">
        <f t="shared" si="176"/>
        <v>3T2</v>
      </c>
      <c r="M913" s="13" t="s">
        <v>730</v>
      </c>
      <c r="N913" s="7" t="s">
        <v>3491</v>
      </c>
      <c r="O913" s="13" t="s">
        <v>1166</v>
      </c>
      <c r="P913" s="115"/>
      <c r="Q913" s="8"/>
      <c r="R913" s="2">
        <v>1</v>
      </c>
      <c r="S913" s="9">
        <v>5000</v>
      </c>
      <c r="T913" s="10">
        <f t="shared" si="182"/>
        <v>2500</v>
      </c>
      <c r="U913" s="9">
        <v>50</v>
      </c>
      <c r="V913" s="10">
        <f t="shared" si="183"/>
        <v>2450</v>
      </c>
      <c r="W913" s="4" t="s">
        <v>122</v>
      </c>
      <c r="X913" s="2"/>
      <c r="Y913" s="11">
        <v>2</v>
      </c>
      <c r="Z913" s="12">
        <f t="shared" si="177"/>
        <v>0</v>
      </c>
      <c r="AA913" s="4" t="s">
        <v>117</v>
      </c>
      <c r="AC913" s="176">
        <f t="shared" si="167"/>
        <v>4.5454545454545456E-2</v>
      </c>
    </row>
    <row r="914" spans="2:29">
      <c r="B914" s="183">
        <f t="shared" si="178"/>
        <v>27</v>
      </c>
      <c r="C914" s="107" t="str">
        <f t="shared" si="179"/>
        <v>ATK</v>
      </c>
      <c r="D914" s="2" t="s">
        <v>2505</v>
      </c>
      <c r="E914" s="3">
        <v>44008</v>
      </c>
      <c r="F914" s="3">
        <v>44011</v>
      </c>
      <c r="G914" s="108">
        <f t="shared" si="180"/>
        <v>6</v>
      </c>
      <c r="H914" s="108" t="str">
        <f t="shared" si="181"/>
        <v>Other</v>
      </c>
      <c r="I914" s="112" t="s">
        <v>317</v>
      </c>
      <c r="J914" s="4" t="s">
        <v>132</v>
      </c>
      <c r="K914" s="5" t="s">
        <v>143</v>
      </c>
      <c r="L914" s="6" t="str">
        <f t="shared" si="176"/>
        <v>3T4</v>
      </c>
      <c r="M914" s="13" t="s">
        <v>158</v>
      </c>
      <c r="N914" s="7" t="s">
        <v>3500</v>
      </c>
      <c r="O914" s="13" t="s">
        <v>275</v>
      </c>
      <c r="P914" s="115" t="s">
        <v>2507</v>
      </c>
      <c r="Q914" s="8"/>
      <c r="R914" s="2">
        <v>1</v>
      </c>
      <c r="S914" s="9">
        <v>1200</v>
      </c>
      <c r="T914" s="10">
        <f t="shared" si="182"/>
        <v>600</v>
      </c>
      <c r="U914" s="9">
        <v>0</v>
      </c>
      <c r="V914" s="10">
        <f t="shared" si="183"/>
        <v>600</v>
      </c>
      <c r="W914" s="4" t="s">
        <v>249</v>
      </c>
      <c r="X914" s="2"/>
      <c r="Y914" s="11">
        <v>4</v>
      </c>
      <c r="Z914" s="12">
        <f t="shared" si="177"/>
        <v>3</v>
      </c>
      <c r="AA914" s="4" t="s">
        <v>2506</v>
      </c>
      <c r="AC914" s="176">
        <f t="shared" si="167"/>
        <v>0</v>
      </c>
    </row>
    <row r="915" spans="2:29">
      <c r="B915" s="183">
        <f t="shared" si="178"/>
        <v>27</v>
      </c>
      <c r="C915" s="107" t="str">
        <f t="shared" si="179"/>
        <v>ATK</v>
      </c>
      <c r="D915" s="2" t="s">
        <v>2508</v>
      </c>
      <c r="E915" s="3">
        <v>44011</v>
      </c>
      <c r="F915" s="3">
        <v>44011</v>
      </c>
      <c r="G915" s="108">
        <f t="shared" si="180"/>
        <v>6</v>
      </c>
      <c r="H915" s="108" t="str">
        <f t="shared" si="181"/>
        <v>완료</v>
      </c>
      <c r="I915" s="112" t="s">
        <v>218</v>
      </c>
      <c r="J915" s="4" t="s">
        <v>118</v>
      </c>
      <c r="K915" s="5" t="s">
        <v>119</v>
      </c>
      <c r="L915" s="6" t="str">
        <f t="shared" si="176"/>
        <v>2T3</v>
      </c>
      <c r="M915" s="13" t="s">
        <v>2509</v>
      </c>
      <c r="N915" s="7" t="s">
        <v>3546</v>
      </c>
      <c r="O915" s="13" t="s">
        <v>1032</v>
      </c>
      <c r="P915" s="115"/>
      <c r="Q915" s="8"/>
      <c r="R915" s="2">
        <v>1</v>
      </c>
      <c r="S915" s="9">
        <v>600</v>
      </c>
      <c r="T915" s="10">
        <f t="shared" si="182"/>
        <v>300</v>
      </c>
      <c r="U915" s="9">
        <v>6</v>
      </c>
      <c r="V915" s="10">
        <f t="shared" si="183"/>
        <v>294</v>
      </c>
      <c r="W915" s="4" t="s">
        <v>122</v>
      </c>
      <c r="X915" s="2"/>
      <c r="Y915" s="11">
        <v>1</v>
      </c>
      <c r="Z915" s="12">
        <f t="shared" si="177"/>
        <v>0</v>
      </c>
      <c r="AA915" s="4" t="s">
        <v>117</v>
      </c>
      <c r="AC915" s="176">
        <f t="shared" si="167"/>
        <v>5.454545454545455E-3</v>
      </c>
    </row>
    <row r="916" spans="2:29">
      <c r="B916" s="183">
        <f t="shared" si="178"/>
        <v>27</v>
      </c>
      <c r="C916" s="107" t="str">
        <f t="shared" si="179"/>
        <v>ATK</v>
      </c>
      <c r="D916" s="2" t="s">
        <v>2510</v>
      </c>
      <c r="E916" s="3">
        <v>44011</v>
      </c>
      <c r="F916" s="3">
        <v>44012</v>
      </c>
      <c r="G916" s="108">
        <f t="shared" si="180"/>
        <v>6</v>
      </c>
      <c r="H916" s="108" t="str">
        <f t="shared" si="181"/>
        <v>완료</v>
      </c>
      <c r="I916" s="112" t="s">
        <v>218</v>
      </c>
      <c r="J916" s="4" t="s">
        <v>132</v>
      </c>
      <c r="K916" s="5" t="s">
        <v>133</v>
      </c>
      <c r="L916" s="6" t="str">
        <f t="shared" si="176"/>
        <v>3T3</v>
      </c>
      <c r="M916" s="13" t="s">
        <v>454</v>
      </c>
      <c r="N916" s="7" t="s">
        <v>3861</v>
      </c>
      <c r="O916" s="13" t="s">
        <v>2503</v>
      </c>
      <c r="P916" s="115"/>
      <c r="Q916" s="8"/>
      <c r="R916" s="2">
        <v>1</v>
      </c>
      <c r="S916" s="9">
        <v>1600</v>
      </c>
      <c r="T916" s="10">
        <f t="shared" si="182"/>
        <v>800</v>
      </c>
      <c r="U916" s="9">
        <v>6</v>
      </c>
      <c r="V916" s="10">
        <f t="shared" si="183"/>
        <v>794</v>
      </c>
      <c r="W916" s="4" t="s">
        <v>122</v>
      </c>
      <c r="X916" s="2"/>
      <c r="Y916" s="11">
        <v>2</v>
      </c>
      <c r="Z916" s="12">
        <f t="shared" si="177"/>
        <v>1</v>
      </c>
      <c r="AA916" s="4" t="s">
        <v>117</v>
      </c>
      <c r="AC916" s="176">
        <f t="shared" si="167"/>
        <v>5.454545454545455E-3</v>
      </c>
    </row>
    <row r="917" spans="2:29">
      <c r="B917" s="183">
        <f t="shared" si="178"/>
        <v>27</v>
      </c>
      <c r="C917" s="107" t="str">
        <f t="shared" si="179"/>
        <v>ATK</v>
      </c>
      <c r="D917" s="2" t="s">
        <v>2511</v>
      </c>
      <c r="E917" s="3">
        <v>44011</v>
      </c>
      <c r="F917" s="3">
        <v>44014</v>
      </c>
      <c r="G917" s="108">
        <f t="shared" si="180"/>
        <v>7</v>
      </c>
      <c r="H917" s="108" t="str">
        <f t="shared" si="181"/>
        <v>완료</v>
      </c>
      <c r="I917" s="112" t="s">
        <v>218</v>
      </c>
      <c r="J917" s="4" t="s">
        <v>132</v>
      </c>
      <c r="K917" s="5" t="s">
        <v>322</v>
      </c>
      <c r="L917" s="6" t="str">
        <f t="shared" si="176"/>
        <v>3T1</v>
      </c>
      <c r="M917" s="13" t="s">
        <v>946</v>
      </c>
      <c r="N917" s="7" t="s">
        <v>3670</v>
      </c>
      <c r="O917" s="13" t="s">
        <v>1002</v>
      </c>
      <c r="P917" s="115" t="s">
        <v>1472</v>
      </c>
      <c r="Q917" s="8"/>
      <c r="R917" s="2">
        <v>2</v>
      </c>
      <c r="S917" s="9">
        <v>700</v>
      </c>
      <c r="T917" s="10">
        <f t="shared" si="182"/>
        <v>700</v>
      </c>
      <c r="U917" s="9">
        <v>10</v>
      </c>
      <c r="V917" s="10">
        <f t="shared" si="183"/>
        <v>690</v>
      </c>
      <c r="W917" s="4" t="s">
        <v>122</v>
      </c>
      <c r="X917" s="2"/>
      <c r="Y917" s="11">
        <v>2</v>
      </c>
      <c r="Z917" s="12">
        <f t="shared" si="177"/>
        <v>3</v>
      </c>
      <c r="AA917" s="4" t="s">
        <v>117</v>
      </c>
      <c r="AC917" s="176">
        <f t="shared" si="167"/>
        <v>9.0909090909090905E-3</v>
      </c>
    </row>
    <row r="918" spans="2:29">
      <c r="B918" s="183">
        <f t="shared" si="178"/>
        <v>27</v>
      </c>
      <c r="C918" s="107" t="str">
        <f t="shared" si="179"/>
        <v>ATK</v>
      </c>
      <c r="D918" s="2" t="s">
        <v>2512</v>
      </c>
      <c r="E918" s="3">
        <v>44011</v>
      </c>
      <c r="F918" s="3">
        <v>44011</v>
      </c>
      <c r="G918" s="108">
        <f t="shared" si="180"/>
        <v>6</v>
      </c>
      <c r="H918" s="108" t="str">
        <f t="shared" si="181"/>
        <v>완료</v>
      </c>
      <c r="I918" s="112" t="s">
        <v>2513</v>
      </c>
      <c r="J918" s="4" t="s">
        <v>2514</v>
      </c>
      <c r="K918" s="5" t="s">
        <v>2515</v>
      </c>
      <c r="L918" s="6" t="str">
        <f t="shared" si="176"/>
        <v>5T1</v>
      </c>
      <c r="M918" s="13" t="s">
        <v>270</v>
      </c>
      <c r="N918" s="7" t="s">
        <v>3631</v>
      </c>
      <c r="O918" s="13" t="s">
        <v>270</v>
      </c>
      <c r="P918" s="115" t="s">
        <v>2243</v>
      </c>
      <c r="Q918" s="8" t="s">
        <v>2518</v>
      </c>
      <c r="R918" s="2">
        <v>1</v>
      </c>
      <c r="S918" s="9">
        <v>710</v>
      </c>
      <c r="T918" s="10">
        <f t="shared" si="182"/>
        <v>355</v>
      </c>
      <c r="U918" s="9">
        <v>25</v>
      </c>
      <c r="V918" s="10">
        <f t="shared" si="183"/>
        <v>330</v>
      </c>
      <c r="W918" s="4" t="s">
        <v>2516</v>
      </c>
      <c r="X918" s="2"/>
      <c r="Y918" s="11">
        <v>2</v>
      </c>
      <c r="Z918" s="12">
        <f t="shared" si="177"/>
        <v>0</v>
      </c>
      <c r="AA918" s="4" t="s">
        <v>2517</v>
      </c>
      <c r="AC918" s="176">
        <f t="shared" si="167"/>
        <v>2.2727272727272728E-2</v>
      </c>
    </row>
    <row r="919" spans="2:29">
      <c r="B919" s="183">
        <f t="shared" si="178"/>
        <v>27</v>
      </c>
      <c r="C919" s="107" t="str">
        <f t="shared" si="179"/>
        <v>ATK</v>
      </c>
      <c r="D919" s="2" t="s">
        <v>2519</v>
      </c>
      <c r="E919" s="3">
        <v>44012</v>
      </c>
      <c r="F919" s="3">
        <v>44012</v>
      </c>
      <c r="G919" s="108">
        <f t="shared" si="180"/>
        <v>6</v>
      </c>
      <c r="H919" s="108" t="str">
        <f t="shared" si="181"/>
        <v>완료</v>
      </c>
      <c r="I919" s="112" t="s">
        <v>2520</v>
      </c>
      <c r="J919" s="4" t="s">
        <v>2521</v>
      </c>
      <c r="K919" s="5" t="s">
        <v>833</v>
      </c>
      <c r="L919" s="6" t="str">
        <f t="shared" si="176"/>
        <v>1T3</v>
      </c>
      <c r="M919" s="13" t="s">
        <v>2522</v>
      </c>
      <c r="N919" s="7" t="s">
        <v>3519</v>
      </c>
      <c r="O919" s="13" t="s">
        <v>1200</v>
      </c>
      <c r="P919" s="115" t="s">
        <v>2523</v>
      </c>
      <c r="Q919" s="8" t="s">
        <v>2526</v>
      </c>
      <c r="R919" s="2">
        <v>1</v>
      </c>
      <c r="S919" s="9">
        <v>910</v>
      </c>
      <c r="T919" s="10">
        <f t="shared" si="182"/>
        <v>455</v>
      </c>
      <c r="U919" s="9">
        <v>25</v>
      </c>
      <c r="V919" s="10">
        <f t="shared" si="183"/>
        <v>430</v>
      </c>
      <c r="W919" s="4" t="s">
        <v>2524</v>
      </c>
      <c r="X919" s="2"/>
      <c r="Y919" s="11">
        <v>2</v>
      </c>
      <c r="Z919" s="12">
        <f t="shared" si="177"/>
        <v>0</v>
      </c>
      <c r="AA919" s="4" t="s">
        <v>2525</v>
      </c>
      <c r="AC919" s="176">
        <f t="shared" si="167"/>
        <v>2.2727272727272728E-2</v>
      </c>
    </row>
    <row r="920" spans="2:29">
      <c r="B920" s="183">
        <f t="shared" si="178"/>
        <v>27</v>
      </c>
      <c r="C920" s="107" t="str">
        <f t="shared" si="179"/>
        <v>ATK</v>
      </c>
      <c r="D920" s="2" t="s">
        <v>2519</v>
      </c>
      <c r="E920" s="3">
        <v>44012</v>
      </c>
      <c r="F920" s="3">
        <v>44012</v>
      </c>
      <c r="G920" s="108">
        <f t="shared" si="180"/>
        <v>6</v>
      </c>
      <c r="H920" s="108" t="str">
        <f t="shared" si="181"/>
        <v>완료</v>
      </c>
      <c r="I920" s="112" t="s">
        <v>2520</v>
      </c>
      <c r="J920" s="4" t="s">
        <v>2521</v>
      </c>
      <c r="K920" s="5" t="s">
        <v>833</v>
      </c>
      <c r="L920" s="6" t="str">
        <f t="shared" si="176"/>
        <v>1T3</v>
      </c>
      <c r="M920" s="13" t="s">
        <v>2522</v>
      </c>
      <c r="N920" s="7" t="s">
        <v>3519</v>
      </c>
      <c r="O920" s="13" t="s">
        <v>1200</v>
      </c>
      <c r="P920" s="115" t="s">
        <v>2523</v>
      </c>
      <c r="Q920" s="8" t="s">
        <v>2527</v>
      </c>
      <c r="R920" s="2">
        <v>1</v>
      </c>
      <c r="S920" s="9">
        <v>910</v>
      </c>
      <c r="T920" s="10">
        <f t="shared" ref="T920:T921" si="184">(S920*50)/100*R920</f>
        <v>455</v>
      </c>
      <c r="U920" s="9">
        <v>25</v>
      </c>
      <c r="V920" s="10">
        <f t="shared" ref="V920:V921" si="185">T920-U920</f>
        <v>430</v>
      </c>
      <c r="W920" s="4" t="s">
        <v>2524</v>
      </c>
      <c r="X920" s="2"/>
      <c r="Y920" s="11">
        <v>2</v>
      </c>
      <c r="Z920" s="12">
        <f t="shared" si="177"/>
        <v>0</v>
      </c>
      <c r="AA920" s="4" t="s">
        <v>2525</v>
      </c>
      <c r="AC920" s="176">
        <f t="shared" si="167"/>
        <v>2.2727272727272728E-2</v>
      </c>
    </row>
    <row r="921" spans="2:29">
      <c r="B921" s="183">
        <f t="shared" si="178"/>
        <v>27</v>
      </c>
      <c r="C921" s="107" t="str">
        <f t="shared" si="179"/>
        <v>ATK</v>
      </c>
      <c r="D921" s="2" t="s">
        <v>845</v>
      </c>
      <c r="E921" s="3">
        <v>44012</v>
      </c>
      <c r="F921" s="3">
        <v>44012</v>
      </c>
      <c r="G921" s="108">
        <f t="shared" si="180"/>
        <v>6</v>
      </c>
      <c r="H921" s="108" t="str">
        <f t="shared" si="181"/>
        <v>완료</v>
      </c>
      <c r="I921" s="112" t="s">
        <v>218</v>
      </c>
      <c r="J921" s="4" t="s">
        <v>132</v>
      </c>
      <c r="K921" s="5" t="s">
        <v>133</v>
      </c>
      <c r="L921" s="6" t="str">
        <f t="shared" si="176"/>
        <v>3T3</v>
      </c>
      <c r="M921" s="13" t="s">
        <v>454</v>
      </c>
      <c r="N921" s="7" t="s">
        <v>140</v>
      </c>
      <c r="O921" s="13" t="s">
        <v>286</v>
      </c>
      <c r="P921" s="115"/>
      <c r="Q921" s="8"/>
      <c r="R921" s="2">
        <v>1</v>
      </c>
      <c r="S921" s="9">
        <v>400</v>
      </c>
      <c r="T921" s="10">
        <f t="shared" si="184"/>
        <v>200</v>
      </c>
      <c r="U921" s="9">
        <v>2</v>
      </c>
      <c r="V921" s="10">
        <f t="shared" si="185"/>
        <v>198</v>
      </c>
      <c r="W921" s="4" t="s">
        <v>122</v>
      </c>
      <c r="X921" s="2"/>
      <c r="Y921" s="11">
        <v>1</v>
      </c>
      <c r="Z921" s="12">
        <f t="shared" si="177"/>
        <v>0</v>
      </c>
      <c r="AA921" s="4" t="s">
        <v>117</v>
      </c>
      <c r="AC921" s="176">
        <f t="shared" si="167"/>
        <v>1.8181818181818182E-3</v>
      </c>
    </row>
    <row r="922" spans="2:29">
      <c r="B922" s="183">
        <f t="shared" si="178"/>
        <v>27</v>
      </c>
      <c r="C922" s="107" t="str">
        <f t="shared" si="179"/>
        <v>ATK</v>
      </c>
      <c r="D922" s="2" t="s">
        <v>272</v>
      </c>
      <c r="E922" s="3">
        <v>44012</v>
      </c>
      <c r="F922" s="3">
        <v>44012</v>
      </c>
      <c r="G922" s="108">
        <f t="shared" si="180"/>
        <v>6</v>
      </c>
      <c r="H922" s="108" t="str">
        <f t="shared" si="181"/>
        <v>완료</v>
      </c>
      <c r="I922" s="112" t="s">
        <v>218</v>
      </c>
      <c r="J922" s="4" t="s">
        <v>132</v>
      </c>
      <c r="K922" s="5" t="s">
        <v>1193</v>
      </c>
      <c r="L922" s="6" t="str">
        <f t="shared" si="176"/>
        <v>3T2</v>
      </c>
      <c r="M922" s="13" t="s">
        <v>1580</v>
      </c>
      <c r="N922" s="7" t="s">
        <v>3546</v>
      </c>
      <c r="O922" s="13" t="s">
        <v>1032</v>
      </c>
      <c r="P922" s="115"/>
      <c r="Q922" s="8"/>
      <c r="R922" s="2">
        <v>1</v>
      </c>
      <c r="S922" s="9">
        <v>600</v>
      </c>
      <c r="T922" s="10">
        <f t="shared" si="182"/>
        <v>300</v>
      </c>
      <c r="U922" s="9">
        <v>6</v>
      </c>
      <c r="V922" s="10">
        <f t="shared" si="183"/>
        <v>294</v>
      </c>
      <c r="W922" s="4" t="s">
        <v>122</v>
      </c>
      <c r="X922" s="2"/>
      <c r="Y922" s="11">
        <v>1</v>
      </c>
      <c r="Z922" s="12">
        <f t="shared" si="177"/>
        <v>0</v>
      </c>
      <c r="AA922" s="4" t="s">
        <v>117</v>
      </c>
      <c r="AC922" s="176">
        <f t="shared" si="167"/>
        <v>5.454545454545455E-3</v>
      </c>
    </row>
    <row r="923" spans="2:29">
      <c r="B923" s="183">
        <f t="shared" si="178"/>
        <v>27</v>
      </c>
      <c r="C923" s="107" t="str">
        <f t="shared" si="179"/>
        <v>ATK</v>
      </c>
      <c r="D923" s="2" t="s">
        <v>2528</v>
      </c>
      <c r="E923" s="3">
        <v>44011</v>
      </c>
      <c r="F923" s="3">
        <v>44012</v>
      </c>
      <c r="G923" s="108">
        <f t="shared" si="180"/>
        <v>6</v>
      </c>
      <c r="H923" s="108" t="str">
        <f t="shared" si="181"/>
        <v>완료</v>
      </c>
      <c r="I923" s="112" t="s">
        <v>218</v>
      </c>
      <c r="J923" s="4" t="s">
        <v>243</v>
      </c>
      <c r="K923" s="5" t="s">
        <v>243</v>
      </c>
      <c r="L923" s="6" t="str">
        <f t="shared" si="176"/>
        <v>K5</v>
      </c>
      <c r="M923" s="13" t="s">
        <v>2529</v>
      </c>
      <c r="N923" s="7" t="s">
        <v>3862</v>
      </c>
      <c r="O923" s="13" t="s">
        <v>2530</v>
      </c>
      <c r="P923" s="115" t="s">
        <v>2531</v>
      </c>
      <c r="Q923" s="8"/>
      <c r="R923" s="2">
        <v>1</v>
      </c>
      <c r="S923" s="9">
        <v>1000</v>
      </c>
      <c r="T923" s="10">
        <f t="shared" si="182"/>
        <v>500</v>
      </c>
      <c r="U923" s="9">
        <v>20</v>
      </c>
      <c r="V923" s="10">
        <f t="shared" si="183"/>
        <v>480</v>
      </c>
      <c r="W923" s="4" t="s">
        <v>122</v>
      </c>
      <c r="X923" s="2"/>
      <c r="Y923" s="11">
        <v>10</v>
      </c>
      <c r="Z923" s="12">
        <f t="shared" si="177"/>
        <v>1</v>
      </c>
      <c r="AA923" s="4" t="s">
        <v>212</v>
      </c>
      <c r="AC923" s="176">
        <f t="shared" si="167"/>
        <v>1.8181818181818181E-2</v>
      </c>
    </row>
    <row r="924" spans="2:29">
      <c r="B924" s="183">
        <f t="shared" si="178"/>
        <v>27</v>
      </c>
      <c r="C924" s="107" t="str">
        <f t="shared" si="179"/>
        <v>ATK</v>
      </c>
      <c r="D924" s="2" t="s">
        <v>278</v>
      </c>
      <c r="E924" s="3">
        <v>44011</v>
      </c>
      <c r="F924" s="3">
        <v>44012</v>
      </c>
      <c r="G924" s="108">
        <f t="shared" si="180"/>
        <v>6</v>
      </c>
      <c r="H924" s="108" t="str">
        <f t="shared" si="181"/>
        <v>완료</v>
      </c>
      <c r="I924" s="112" t="s">
        <v>218</v>
      </c>
      <c r="J924" s="4" t="s">
        <v>243</v>
      </c>
      <c r="K924" s="5" t="s">
        <v>243</v>
      </c>
      <c r="L924" s="6" t="str">
        <f t="shared" si="176"/>
        <v>K5</v>
      </c>
      <c r="M924" s="13" t="s">
        <v>2529</v>
      </c>
      <c r="N924" s="7" t="s">
        <v>3863</v>
      </c>
      <c r="O924" s="13" t="s">
        <v>2532</v>
      </c>
      <c r="P924" s="115" t="s">
        <v>2533</v>
      </c>
      <c r="Q924" s="8"/>
      <c r="R924" s="2">
        <v>1</v>
      </c>
      <c r="S924" s="9">
        <v>1000</v>
      </c>
      <c r="T924" s="10">
        <f t="shared" ref="T924:T926" si="186">(S924*50)/100*R924</f>
        <v>500</v>
      </c>
      <c r="U924" s="9">
        <v>50</v>
      </c>
      <c r="V924" s="10">
        <f t="shared" ref="V924:V926" si="187">T924-U924</f>
        <v>450</v>
      </c>
      <c r="W924" s="4" t="s">
        <v>122</v>
      </c>
      <c r="X924" s="2"/>
      <c r="Y924" s="11">
        <v>4</v>
      </c>
      <c r="Z924" s="12">
        <f t="shared" si="177"/>
        <v>1</v>
      </c>
      <c r="AA924" s="4" t="s">
        <v>2534</v>
      </c>
      <c r="AC924" s="176">
        <f t="shared" si="167"/>
        <v>4.5454545454545456E-2</v>
      </c>
    </row>
    <row r="925" spans="2:29">
      <c r="B925" s="183">
        <f t="shared" si="178"/>
        <v>27</v>
      </c>
      <c r="C925" s="107" t="str">
        <f t="shared" si="179"/>
        <v>ATK</v>
      </c>
      <c r="D925" s="2" t="s">
        <v>2391</v>
      </c>
      <c r="E925" s="3">
        <v>44011</v>
      </c>
      <c r="F925" s="3">
        <v>44011</v>
      </c>
      <c r="G925" s="108">
        <f t="shared" si="180"/>
        <v>6</v>
      </c>
      <c r="H925" s="108" t="str">
        <f t="shared" si="181"/>
        <v>완료</v>
      </c>
      <c r="I925" s="112" t="s">
        <v>2228</v>
      </c>
      <c r="J925" s="4" t="s">
        <v>2500</v>
      </c>
      <c r="K925" s="5" t="s">
        <v>2515</v>
      </c>
      <c r="L925" s="6" t="str">
        <f t="shared" si="176"/>
        <v>5T1</v>
      </c>
      <c r="M925" s="13" t="s">
        <v>270</v>
      </c>
      <c r="N925" s="7" t="s">
        <v>3631</v>
      </c>
      <c r="O925" s="13" t="s">
        <v>270</v>
      </c>
      <c r="P925" s="115" t="s">
        <v>2243</v>
      </c>
      <c r="Q925" s="8" t="s">
        <v>2535</v>
      </c>
      <c r="R925" s="2">
        <v>1</v>
      </c>
      <c r="S925" s="9">
        <v>710</v>
      </c>
      <c r="T925" s="10">
        <f t="shared" si="186"/>
        <v>355</v>
      </c>
      <c r="U925" s="9">
        <v>0</v>
      </c>
      <c r="V925" s="10">
        <f t="shared" si="187"/>
        <v>355</v>
      </c>
      <c r="W925" s="4" t="s">
        <v>2114</v>
      </c>
      <c r="X925" s="2"/>
      <c r="Y925" s="11">
        <v>1</v>
      </c>
      <c r="Z925" s="12">
        <f t="shared" si="177"/>
        <v>0</v>
      </c>
      <c r="AA925" s="4" t="s">
        <v>2152</v>
      </c>
      <c r="AC925" s="176">
        <f t="shared" si="167"/>
        <v>0</v>
      </c>
    </row>
    <row r="926" spans="2:29">
      <c r="B926" s="183">
        <f t="shared" si="178"/>
        <v>27</v>
      </c>
      <c r="C926" s="107" t="str">
        <f t="shared" si="179"/>
        <v>ATK</v>
      </c>
      <c r="D926" s="2" t="s">
        <v>620</v>
      </c>
      <c r="E926" s="3">
        <v>44012</v>
      </c>
      <c r="F926" s="3">
        <v>44012</v>
      </c>
      <c r="G926" s="108">
        <f t="shared" si="180"/>
        <v>6</v>
      </c>
      <c r="H926" s="108" t="str">
        <f t="shared" si="181"/>
        <v>완료</v>
      </c>
      <c r="I926" s="112" t="s">
        <v>346</v>
      </c>
      <c r="J926" s="4" t="s">
        <v>481</v>
      </c>
      <c r="K926" s="5" t="s">
        <v>621</v>
      </c>
      <c r="L926" s="6" t="str">
        <f t="shared" si="176"/>
        <v>2T3</v>
      </c>
      <c r="M926" s="13" t="s">
        <v>2483</v>
      </c>
      <c r="N926" s="7" t="s">
        <v>3490</v>
      </c>
      <c r="O926" s="13" t="s">
        <v>2483</v>
      </c>
      <c r="P926" s="115" t="s">
        <v>2536</v>
      </c>
      <c r="Q926" s="8"/>
      <c r="R926" s="2">
        <v>1</v>
      </c>
      <c r="S926" s="9">
        <v>1900</v>
      </c>
      <c r="T926" s="10">
        <f t="shared" si="186"/>
        <v>950</v>
      </c>
      <c r="U926" s="9">
        <v>0</v>
      </c>
      <c r="V926" s="10">
        <f t="shared" si="187"/>
        <v>950</v>
      </c>
      <c r="W926" s="4" t="s">
        <v>122</v>
      </c>
      <c r="X926" s="2"/>
      <c r="Y926" s="11">
        <v>1</v>
      </c>
      <c r="Z926" s="12">
        <f t="shared" si="177"/>
        <v>0</v>
      </c>
      <c r="AA926" s="4" t="s">
        <v>174</v>
      </c>
      <c r="AC926" s="176">
        <f t="shared" si="167"/>
        <v>0</v>
      </c>
    </row>
    <row r="927" spans="2:29">
      <c r="B927" s="183">
        <f t="shared" si="178"/>
        <v>27</v>
      </c>
      <c r="C927" s="107" t="str">
        <f t="shared" si="179"/>
        <v>ATK</v>
      </c>
      <c r="D927" s="2" t="s">
        <v>620</v>
      </c>
      <c r="E927" s="3">
        <v>44011</v>
      </c>
      <c r="F927" s="3">
        <v>44011</v>
      </c>
      <c r="G927" s="108">
        <f t="shared" si="180"/>
        <v>6</v>
      </c>
      <c r="H927" s="108" t="str">
        <f t="shared" si="181"/>
        <v>완료</v>
      </c>
      <c r="I927" s="112" t="s">
        <v>264</v>
      </c>
      <c r="J927" s="4" t="s">
        <v>481</v>
      </c>
      <c r="K927" s="5" t="s">
        <v>621</v>
      </c>
      <c r="L927" s="6" t="str">
        <f t="shared" si="176"/>
        <v>2T3</v>
      </c>
      <c r="M927" s="13" t="s">
        <v>270</v>
      </c>
      <c r="N927" s="7" t="s">
        <v>3631</v>
      </c>
      <c r="O927" s="13" t="s">
        <v>270</v>
      </c>
      <c r="P927" s="115" t="s">
        <v>2243</v>
      </c>
      <c r="Q927" s="8" t="s">
        <v>2537</v>
      </c>
      <c r="R927" s="2">
        <v>1</v>
      </c>
      <c r="S927" s="9">
        <v>910</v>
      </c>
      <c r="T927" s="10">
        <f t="shared" ref="T927" si="188">(S927*50)/100*R927</f>
        <v>455</v>
      </c>
      <c r="U927" s="9">
        <v>0</v>
      </c>
      <c r="V927" s="10">
        <f t="shared" ref="V927" si="189">T927-U927</f>
        <v>455</v>
      </c>
      <c r="W927" s="4" t="s">
        <v>249</v>
      </c>
      <c r="X927" s="2"/>
      <c r="Y927" s="11">
        <v>2</v>
      </c>
      <c r="Z927" s="12">
        <f t="shared" si="177"/>
        <v>0</v>
      </c>
      <c r="AA927" s="4" t="s">
        <v>174</v>
      </c>
      <c r="AC927" s="176">
        <f t="shared" si="167"/>
        <v>0</v>
      </c>
    </row>
    <row r="928" spans="2:29">
      <c r="B928" s="183">
        <f t="shared" si="178"/>
        <v>27</v>
      </c>
      <c r="C928" s="107" t="str">
        <f t="shared" si="179"/>
        <v>ATK</v>
      </c>
      <c r="D928" s="2" t="s">
        <v>784</v>
      </c>
      <c r="E928" s="3">
        <v>44012</v>
      </c>
      <c r="F928" s="3">
        <v>44012</v>
      </c>
      <c r="G928" s="108">
        <f t="shared" si="180"/>
        <v>6</v>
      </c>
      <c r="H928" s="108" t="str">
        <f t="shared" si="181"/>
        <v>완료</v>
      </c>
      <c r="I928" s="112" t="s">
        <v>218</v>
      </c>
      <c r="J928" s="4" t="s">
        <v>132</v>
      </c>
      <c r="K928" s="5" t="s">
        <v>133</v>
      </c>
      <c r="L928" s="6" t="str">
        <f t="shared" si="176"/>
        <v>3T3</v>
      </c>
      <c r="M928" s="13" t="s">
        <v>2377</v>
      </c>
      <c r="N928" s="7" t="s">
        <v>3864</v>
      </c>
      <c r="O928" s="13" t="s">
        <v>2538</v>
      </c>
      <c r="P928" s="115" t="s">
        <v>2539</v>
      </c>
      <c r="Q928" s="8"/>
      <c r="R928" s="2">
        <v>1</v>
      </c>
      <c r="S928" s="9">
        <v>3000</v>
      </c>
      <c r="T928" s="10">
        <f t="shared" si="182"/>
        <v>1500</v>
      </c>
      <c r="U928" s="9">
        <v>0</v>
      </c>
      <c r="V928" s="10">
        <f t="shared" si="183"/>
        <v>1500</v>
      </c>
      <c r="W928" s="4" t="s">
        <v>122</v>
      </c>
      <c r="X928" s="2"/>
      <c r="Y928" s="11">
        <v>3</v>
      </c>
      <c r="Z928" s="12">
        <f t="shared" si="177"/>
        <v>0</v>
      </c>
      <c r="AA928" s="4" t="s">
        <v>120</v>
      </c>
      <c r="AC928" s="176">
        <f t="shared" si="167"/>
        <v>0</v>
      </c>
    </row>
    <row r="929" spans="2:29">
      <c r="B929" s="183">
        <f t="shared" si="178"/>
        <v>27</v>
      </c>
      <c r="C929" s="107" t="str">
        <f t="shared" si="179"/>
        <v>ATK</v>
      </c>
      <c r="D929" s="2" t="s">
        <v>2540</v>
      </c>
      <c r="E929" s="3">
        <v>44013</v>
      </c>
      <c r="F929" s="3">
        <v>44013</v>
      </c>
      <c r="G929" s="108">
        <f t="shared" si="180"/>
        <v>7</v>
      </c>
      <c r="H929" s="108" t="str">
        <f t="shared" si="181"/>
        <v>완료</v>
      </c>
      <c r="I929" s="112" t="s">
        <v>2541</v>
      </c>
      <c r="J929" s="4" t="s">
        <v>2542</v>
      </c>
      <c r="K929" s="5" t="s">
        <v>621</v>
      </c>
      <c r="L929" s="6" t="str">
        <f t="shared" si="176"/>
        <v>2T3</v>
      </c>
      <c r="M929" s="13" t="s">
        <v>270</v>
      </c>
      <c r="N929" s="7" t="s">
        <v>3631</v>
      </c>
      <c r="O929" s="13" t="s">
        <v>270</v>
      </c>
      <c r="P929" s="115" t="s">
        <v>2243</v>
      </c>
      <c r="Q929" s="8" t="s">
        <v>2543</v>
      </c>
      <c r="R929" s="2">
        <v>1</v>
      </c>
      <c r="S929" s="9">
        <v>710</v>
      </c>
      <c r="T929" s="10">
        <f t="shared" si="182"/>
        <v>355</v>
      </c>
      <c r="U929" s="9">
        <v>0</v>
      </c>
      <c r="V929" s="10">
        <f t="shared" si="183"/>
        <v>355</v>
      </c>
      <c r="W929" s="4" t="s">
        <v>249</v>
      </c>
      <c r="X929" s="2"/>
      <c r="Y929" s="11">
        <v>1</v>
      </c>
      <c r="Z929" s="12">
        <f t="shared" si="177"/>
        <v>0</v>
      </c>
      <c r="AA929" s="4" t="s">
        <v>174</v>
      </c>
      <c r="AC929" s="176">
        <f t="shared" si="167"/>
        <v>0</v>
      </c>
    </row>
    <row r="930" spans="2:29">
      <c r="B930" s="183">
        <f t="shared" si="178"/>
        <v>27</v>
      </c>
      <c r="C930" s="107" t="str">
        <f t="shared" si="179"/>
        <v>ATK</v>
      </c>
      <c r="D930" s="2" t="s">
        <v>2540</v>
      </c>
      <c r="E930" s="3">
        <v>44013</v>
      </c>
      <c r="F930" s="3">
        <v>44013</v>
      </c>
      <c r="G930" s="108">
        <f t="shared" si="180"/>
        <v>7</v>
      </c>
      <c r="H930" s="108" t="str">
        <f t="shared" si="181"/>
        <v>완료</v>
      </c>
      <c r="I930" s="112" t="s">
        <v>2541</v>
      </c>
      <c r="J930" s="4" t="s">
        <v>2542</v>
      </c>
      <c r="K930" s="5" t="s">
        <v>621</v>
      </c>
      <c r="L930" s="6" t="str">
        <f t="shared" si="176"/>
        <v>2T3</v>
      </c>
      <c r="M930" s="13" t="s">
        <v>270</v>
      </c>
      <c r="N930" s="7" t="s">
        <v>3560</v>
      </c>
      <c r="O930" s="13" t="s">
        <v>270</v>
      </c>
      <c r="P930" s="115" t="s">
        <v>2243</v>
      </c>
      <c r="Q930" s="8" t="s">
        <v>2544</v>
      </c>
      <c r="R930" s="2">
        <v>1</v>
      </c>
      <c r="S930" s="9">
        <v>710</v>
      </c>
      <c r="T930" s="10">
        <f t="shared" ref="T930" si="190">(S930*50)/100*R930</f>
        <v>355</v>
      </c>
      <c r="U930" s="9">
        <v>0</v>
      </c>
      <c r="V930" s="10">
        <f t="shared" ref="V930" si="191">T930-U930</f>
        <v>355</v>
      </c>
      <c r="W930" s="4" t="s">
        <v>249</v>
      </c>
      <c r="X930" s="2"/>
      <c r="Y930" s="11">
        <v>1</v>
      </c>
      <c r="Z930" s="12">
        <f t="shared" si="177"/>
        <v>0</v>
      </c>
      <c r="AA930" s="4" t="s">
        <v>174</v>
      </c>
      <c r="AC930" s="176">
        <f t="shared" si="167"/>
        <v>0</v>
      </c>
    </row>
    <row r="931" spans="2:29">
      <c r="B931" s="183">
        <f t="shared" si="178"/>
        <v>27</v>
      </c>
      <c r="C931" s="107" t="str">
        <f t="shared" si="179"/>
        <v>ATK</v>
      </c>
      <c r="D931" s="2" t="s">
        <v>2545</v>
      </c>
      <c r="E931" s="3">
        <v>44013</v>
      </c>
      <c r="F931" s="3">
        <v>44013</v>
      </c>
      <c r="G931" s="108">
        <f t="shared" si="180"/>
        <v>7</v>
      </c>
      <c r="H931" s="108" t="str">
        <f t="shared" si="181"/>
        <v>Other</v>
      </c>
      <c r="I931" s="112" t="s">
        <v>251</v>
      </c>
      <c r="J931" s="4" t="s">
        <v>2546</v>
      </c>
      <c r="K931" s="5" t="s">
        <v>2547</v>
      </c>
      <c r="L931" s="6" t="str">
        <f t="shared" si="176"/>
        <v>EE1</v>
      </c>
      <c r="M931" s="13" t="s">
        <v>1143</v>
      </c>
      <c r="N931" s="7" t="s">
        <v>140</v>
      </c>
      <c r="O931" s="13" t="s">
        <v>2488</v>
      </c>
      <c r="P931" s="115" t="s">
        <v>2548</v>
      </c>
      <c r="Q931" s="8"/>
      <c r="R931" s="2">
        <v>1</v>
      </c>
      <c r="S931" s="9">
        <v>0</v>
      </c>
      <c r="T931" s="10">
        <f t="shared" si="182"/>
        <v>0</v>
      </c>
      <c r="U931" s="9">
        <v>0</v>
      </c>
      <c r="V931" s="10">
        <f t="shared" si="183"/>
        <v>0</v>
      </c>
      <c r="W931" s="4" t="s">
        <v>249</v>
      </c>
      <c r="X931" s="2"/>
      <c r="Y931" s="11">
        <v>4</v>
      </c>
      <c r="Z931" s="12">
        <f t="shared" si="177"/>
        <v>0</v>
      </c>
      <c r="AA931" s="4" t="s">
        <v>2549</v>
      </c>
      <c r="AC931" s="176">
        <f t="shared" si="167"/>
        <v>0</v>
      </c>
    </row>
    <row r="932" spans="2:29">
      <c r="B932" s="183">
        <f t="shared" si="178"/>
        <v>27</v>
      </c>
      <c r="C932" s="107" t="str">
        <f t="shared" si="179"/>
        <v>ATK</v>
      </c>
      <c r="D932" s="2" t="s">
        <v>2098</v>
      </c>
      <c r="E932" s="3">
        <v>44011</v>
      </c>
      <c r="F932" s="3">
        <v>44013</v>
      </c>
      <c r="G932" s="108">
        <f t="shared" si="180"/>
        <v>7</v>
      </c>
      <c r="H932" s="108" t="str">
        <f t="shared" si="181"/>
        <v>완료</v>
      </c>
      <c r="I932" s="112" t="s">
        <v>1358</v>
      </c>
      <c r="J932" s="4" t="s">
        <v>804</v>
      </c>
      <c r="K932" s="5" t="s">
        <v>1091</v>
      </c>
      <c r="L932" s="6" t="str">
        <f t="shared" si="176"/>
        <v>5T2</v>
      </c>
      <c r="M932" s="13" t="s">
        <v>2522</v>
      </c>
      <c r="N932" s="7" t="s">
        <v>3865</v>
      </c>
      <c r="O932" s="13" t="s">
        <v>2522</v>
      </c>
      <c r="P932" s="115" t="s">
        <v>2550</v>
      </c>
      <c r="Q932" s="8" t="s">
        <v>2565</v>
      </c>
      <c r="R932" s="2">
        <v>1</v>
      </c>
      <c r="S932" s="9">
        <v>710</v>
      </c>
      <c r="T932" s="10">
        <f t="shared" si="182"/>
        <v>355</v>
      </c>
      <c r="U932" s="9">
        <v>0</v>
      </c>
      <c r="V932" s="10">
        <f t="shared" si="183"/>
        <v>355</v>
      </c>
      <c r="W932" s="4" t="s">
        <v>900</v>
      </c>
      <c r="X932" s="2"/>
      <c r="Y932" s="11">
        <v>2</v>
      </c>
      <c r="Z932" s="12">
        <f t="shared" si="177"/>
        <v>2</v>
      </c>
      <c r="AA932" s="4" t="s">
        <v>659</v>
      </c>
      <c r="AC932" s="176">
        <f t="shared" si="167"/>
        <v>0</v>
      </c>
    </row>
    <row r="933" spans="2:29">
      <c r="B933" s="183">
        <f t="shared" si="178"/>
        <v>27</v>
      </c>
      <c r="C933" s="107" t="str">
        <f t="shared" si="179"/>
        <v>ATK</v>
      </c>
      <c r="D933" s="2" t="s">
        <v>2555</v>
      </c>
      <c r="E933" s="3">
        <v>44012</v>
      </c>
      <c r="F933" s="3">
        <v>44013</v>
      </c>
      <c r="G933" s="108">
        <f t="shared" si="180"/>
        <v>7</v>
      </c>
      <c r="H933" s="108" t="str">
        <f t="shared" si="181"/>
        <v>완료</v>
      </c>
      <c r="I933" s="112" t="s">
        <v>218</v>
      </c>
      <c r="J933" s="4" t="s">
        <v>132</v>
      </c>
      <c r="K933" s="5" t="s">
        <v>322</v>
      </c>
      <c r="L933" s="6" t="str">
        <f t="shared" si="176"/>
        <v>3T1</v>
      </c>
      <c r="M933" s="13" t="s">
        <v>2556</v>
      </c>
      <c r="N933" s="7" t="s">
        <v>3866</v>
      </c>
      <c r="O933" s="13" t="s">
        <v>2557</v>
      </c>
      <c r="P933" s="115" t="s">
        <v>2623</v>
      </c>
      <c r="Q933" s="8"/>
      <c r="R933" s="2">
        <v>2</v>
      </c>
      <c r="S933" s="9">
        <v>3000</v>
      </c>
      <c r="T933" s="10">
        <f t="shared" si="182"/>
        <v>3000</v>
      </c>
      <c r="U933" s="9">
        <v>0</v>
      </c>
      <c r="V933" s="10">
        <v>3000</v>
      </c>
      <c r="W933" s="4" t="s">
        <v>122</v>
      </c>
      <c r="X933" s="2"/>
      <c r="Y933" s="11">
        <v>4</v>
      </c>
      <c r="Z933" s="12">
        <f t="shared" si="177"/>
        <v>1</v>
      </c>
      <c r="AA933" s="4" t="s">
        <v>212</v>
      </c>
      <c r="AC933" s="176">
        <f t="shared" si="167"/>
        <v>0</v>
      </c>
    </row>
    <row r="934" spans="2:29">
      <c r="B934" s="183">
        <f t="shared" si="178"/>
        <v>31</v>
      </c>
      <c r="C934" s="107" t="str">
        <f t="shared" si="179"/>
        <v>ATK</v>
      </c>
      <c r="D934" s="2" t="s">
        <v>379</v>
      </c>
      <c r="E934" s="3">
        <v>44012</v>
      </c>
      <c r="F934" s="3">
        <v>44043</v>
      </c>
      <c r="G934" s="108">
        <f t="shared" si="180"/>
        <v>7</v>
      </c>
      <c r="H934" s="108" t="str">
        <f t="shared" si="181"/>
        <v>완료</v>
      </c>
      <c r="I934" s="112" t="s">
        <v>218</v>
      </c>
      <c r="J934" s="4" t="s">
        <v>132</v>
      </c>
      <c r="K934" s="5" t="s">
        <v>322</v>
      </c>
      <c r="L934" s="6" t="str">
        <f t="shared" si="176"/>
        <v>3T1</v>
      </c>
      <c r="M934" s="13" t="s">
        <v>754</v>
      </c>
      <c r="N934" s="7" t="s">
        <v>3867</v>
      </c>
      <c r="O934" s="13" t="s">
        <v>2552</v>
      </c>
      <c r="P934" s="115" t="s">
        <v>3192</v>
      </c>
      <c r="Q934" s="8"/>
      <c r="R934" s="2">
        <v>1</v>
      </c>
      <c r="S934" s="9">
        <v>2000</v>
      </c>
      <c r="T934" s="10">
        <f t="shared" si="182"/>
        <v>1000</v>
      </c>
      <c r="U934" s="9">
        <v>150</v>
      </c>
      <c r="V934" s="10">
        <f t="shared" si="183"/>
        <v>850</v>
      </c>
      <c r="W934" s="4" t="s">
        <v>122</v>
      </c>
      <c r="X934" s="2"/>
      <c r="Y934" s="11">
        <v>8</v>
      </c>
      <c r="Z934" s="12">
        <f t="shared" si="177"/>
        <v>31</v>
      </c>
      <c r="AA934" s="4" t="s">
        <v>212</v>
      </c>
      <c r="AC934" s="176">
        <f t="shared" si="167"/>
        <v>0.13636363636363635</v>
      </c>
    </row>
    <row r="935" spans="2:29">
      <c r="B935" s="183">
        <f t="shared" si="178"/>
        <v>27</v>
      </c>
      <c r="C935" s="107" t="str">
        <f t="shared" si="179"/>
        <v>ATK</v>
      </c>
      <c r="D935" s="2" t="s">
        <v>2551</v>
      </c>
      <c r="E935" s="3">
        <v>44012</v>
      </c>
      <c r="F935" s="3">
        <v>44015</v>
      </c>
      <c r="G935" s="108">
        <f t="shared" si="180"/>
        <v>7</v>
      </c>
      <c r="H935" s="108" t="str">
        <f t="shared" si="181"/>
        <v>완료</v>
      </c>
      <c r="I935" s="112" t="s">
        <v>218</v>
      </c>
      <c r="J935" s="4" t="s">
        <v>132</v>
      </c>
      <c r="K935" s="5" t="s">
        <v>322</v>
      </c>
      <c r="L935" s="6" t="str">
        <f t="shared" si="176"/>
        <v>3T1</v>
      </c>
      <c r="M935" s="13" t="s">
        <v>754</v>
      </c>
      <c r="N935" s="7" t="s">
        <v>3868</v>
      </c>
      <c r="O935" s="13" t="s">
        <v>2553</v>
      </c>
      <c r="P935" s="115" t="s">
        <v>2554</v>
      </c>
      <c r="Q935" s="8"/>
      <c r="R935" s="2">
        <v>1</v>
      </c>
      <c r="S935" s="9">
        <v>10000</v>
      </c>
      <c r="T935" s="10">
        <f t="shared" si="182"/>
        <v>5000</v>
      </c>
      <c r="U935" s="9"/>
      <c r="V935" s="10">
        <f t="shared" si="183"/>
        <v>5000</v>
      </c>
      <c r="W935" s="4" t="s">
        <v>4126</v>
      </c>
      <c r="X935" s="2"/>
      <c r="Y935" s="11"/>
      <c r="Z935" s="12">
        <f t="shared" si="177"/>
        <v>3</v>
      </c>
      <c r="AA935" s="4" t="s">
        <v>212</v>
      </c>
      <c r="AC935" s="176">
        <f t="shared" si="167"/>
        <v>0</v>
      </c>
    </row>
    <row r="936" spans="2:29">
      <c r="B936" s="183">
        <f t="shared" si="178"/>
        <v>27</v>
      </c>
      <c r="C936" s="107" t="str">
        <f t="shared" si="179"/>
        <v>ATK</v>
      </c>
      <c r="D936" s="2" t="s">
        <v>2558</v>
      </c>
      <c r="E936" s="3">
        <v>44013</v>
      </c>
      <c r="F936" s="3">
        <v>44013</v>
      </c>
      <c r="G936" s="108">
        <f t="shared" si="180"/>
        <v>7</v>
      </c>
      <c r="H936" s="108" t="str">
        <f t="shared" si="181"/>
        <v>Other</v>
      </c>
      <c r="I936" s="112" t="s">
        <v>2559</v>
      </c>
      <c r="J936" s="4" t="s">
        <v>2560</v>
      </c>
      <c r="K936" s="5" t="s">
        <v>2299</v>
      </c>
      <c r="L936" s="6" t="str">
        <f t="shared" si="176"/>
        <v>2T3</v>
      </c>
      <c r="M936" s="13" t="s">
        <v>2561</v>
      </c>
      <c r="N936" s="7" t="s">
        <v>3598</v>
      </c>
      <c r="O936" s="13" t="s">
        <v>2561</v>
      </c>
      <c r="P936" s="115" t="s">
        <v>2562</v>
      </c>
      <c r="Q936" s="8"/>
      <c r="R936" s="2">
        <v>1</v>
      </c>
      <c r="S936" s="9">
        <v>1800</v>
      </c>
      <c r="T936" s="10">
        <f t="shared" si="182"/>
        <v>900</v>
      </c>
      <c r="U936" s="9">
        <v>0</v>
      </c>
      <c r="V936" s="10">
        <f t="shared" si="183"/>
        <v>900</v>
      </c>
      <c r="W936" s="4" t="s">
        <v>2563</v>
      </c>
      <c r="X936" s="2"/>
      <c r="Y936" s="11">
        <v>1</v>
      </c>
      <c r="Z936" s="12">
        <f t="shared" si="177"/>
        <v>0</v>
      </c>
      <c r="AA936" s="4" t="s">
        <v>2564</v>
      </c>
      <c r="AC936" s="176">
        <f t="shared" si="167"/>
        <v>0</v>
      </c>
    </row>
    <row r="937" spans="2:29">
      <c r="B937" s="183">
        <f t="shared" si="178"/>
        <v>27</v>
      </c>
      <c r="C937" s="107" t="str">
        <f t="shared" si="179"/>
        <v>ATK</v>
      </c>
      <c r="D937" s="2" t="s">
        <v>2566</v>
      </c>
      <c r="E937" s="3">
        <v>44013</v>
      </c>
      <c r="F937" s="3">
        <v>44013</v>
      </c>
      <c r="G937" s="108">
        <f t="shared" si="180"/>
        <v>7</v>
      </c>
      <c r="H937" s="108" t="str">
        <f t="shared" si="181"/>
        <v>완료</v>
      </c>
      <c r="I937" s="112" t="s">
        <v>2567</v>
      </c>
      <c r="J937" s="4" t="s">
        <v>2568</v>
      </c>
      <c r="K937" s="5" t="s">
        <v>2569</v>
      </c>
      <c r="L937" s="6" t="str">
        <f t="shared" si="176"/>
        <v>3T4</v>
      </c>
      <c r="M937" s="13" t="s">
        <v>1200</v>
      </c>
      <c r="N937" s="7" t="s">
        <v>3631</v>
      </c>
      <c r="O937" s="13" t="s">
        <v>2570</v>
      </c>
      <c r="P937" s="115" t="s">
        <v>2571</v>
      </c>
      <c r="Q937" s="8" t="s">
        <v>2572</v>
      </c>
      <c r="R937" s="2">
        <v>1</v>
      </c>
      <c r="S937" s="9">
        <v>710</v>
      </c>
      <c r="T937" s="10">
        <f t="shared" si="182"/>
        <v>355</v>
      </c>
      <c r="U937" s="9">
        <v>25</v>
      </c>
      <c r="V937" s="10">
        <f t="shared" si="183"/>
        <v>330</v>
      </c>
      <c r="W937" s="4" t="s">
        <v>2573</v>
      </c>
      <c r="X937" s="2"/>
      <c r="Y937" s="11">
        <v>2</v>
      </c>
      <c r="Z937" s="12">
        <f t="shared" si="177"/>
        <v>0</v>
      </c>
      <c r="AA937" s="4" t="s">
        <v>2574</v>
      </c>
      <c r="AC937" s="176">
        <f t="shared" si="167"/>
        <v>2.2727272727272728E-2</v>
      </c>
    </row>
    <row r="938" spans="2:29">
      <c r="B938" s="183">
        <f t="shared" si="178"/>
        <v>31</v>
      </c>
      <c r="C938" s="107" t="str">
        <f t="shared" si="179"/>
        <v>ATK</v>
      </c>
      <c r="D938" s="2" t="s">
        <v>2575</v>
      </c>
      <c r="E938" s="3">
        <v>44011</v>
      </c>
      <c r="F938" s="3">
        <v>44039</v>
      </c>
      <c r="G938" s="108">
        <f t="shared" si="180"/>
        <v>7</v>
      </c>
      <c r="H938" s="108" t="str">
        <f t="shared" si="181"/>
        <v>완료</v>
      </c>
      <c r="I938" s="112" t="s">
        <v>218</v>
      </c>
      <c r="J938" s="4" t="s">
        <v>2576</v>
      </c>
      <c r="K938" s="5" t="s">
        <v>2576</v>
      </c>
      <c r="L938" s="6" t="str">
        <f t="shared" si="176"/>
        <v>K5</v>
      </c>
      <c r="M938" s="13" t="s">
        <v>2577</v>
      </c>
      <c r="N938" s="7" t="s">
        <v>140</v>
      </c>
      <c r="O938" s="13" t="s">
        <v>2578</v>
      </c>
      <c r="P938" s="115" t="s">
        <v>2579</v>
      </c>
      <c r="Q938" s="8"/>
      <c r="R938" s="2">
        <v>1</v>
      </c>
      <c r="S938" s="9">
        <v>7000</v>
      </c>
      <c r="T938" s="10">
        <f t="shared" si="182"/>
        <v>3500</v>
      </c>
      <c r="U938" s="9">
        <v>100</v>
      </c>
      <c r="V938" s="10">
        <f t="shared" si="183"/>
        <v>3400</v>
      </c>
      <c r="W938" s="4" t="s">
        <v>249</v>
      </c>
      <c r="X938" s="2"/>
      <c r="Y938" s="11">
        <v>6</v>
      </c>
      <c r="Z938" s="12">
        <f t="shared" si="177"/>
        <v>28</v>
      </c>
      <c r="AA938" s="4" t="s">
        <v>2580</v>
      </c>
      <c r="AC938" s="176">
        <f t="shared" si="167"/>
        <v>9.0909090909090912E-2</v>
      </c>
    </row>
    <row r="939" spans="2:29">
      <c r="B939" s="183">
        <f t="shared" si="178"/>
        <v>27</v>
      </c>
      <c r="C939" s="107" t="str">
        <f t="shared" si="179"/>
        <v>ATK</v>
      </c>
      <c r="D939" s="2" t="s">
        <v>846</v>
      </c>
      <c r="E939" s="3">
        <v>44013</v>
      </c>
      <c r="F939" s="3">
        <v>44013</v>
      </c>
      <c r="G939" s="108">
        <f t="shared" si="180"/>
        <v>7</v>
      </c>
      <c r="H939" s="108" t="str">
        <f t="shared" si="181"/>
        <v>완료</v>
      </c>
      <c r="I939" s="112" t="s">
        <v>218</v>
      </c>
      <c r="J939" s="4" t="s">
        <v>118</v>
      </c>
      <c r="K939" s="5" t="s">
        <v>134</v>
      </c>
      <c r="L939" s="6" t="str">
        <f t="shared" si="176"/>
        <v>2T1</v>
      </c>
      <c r="M939" s="13" t="s">
        <v>2581</v>
      </c>
      <c r="N939" s="7" t="s">
        <v>3869</v>
      </c>
      <c r="O939" s="13" t="s">
        <v>2582</v>
      </c>
      <c r="P939" s="115" t="s">
        <v>2624</v>
      </c>
      <c r="Q939" s="8"/>
      <c r="R939" s="2">
        <v>1</v>
      </c>
      <c r="S939" s="9">
        <v>5000</v>
      </c>
      <c r="T939" s="10">
        <f t="shared" ref="T939:T996" si="192">(S939*50)/100*R939</f>
        <v>2500</v>
      </c>
      <c r="U939" s="9"/>
      <c r="V939" s="10">
        <f t="shared" ref="V939:V996" si="193">T939-U939</f>
        <v>2500</v>
      </c>
      <c r="W939" s="4" t="s">
        <v>122</v>
      </c>
      <c r="X939" s="2"/>
      <c r="Y939" s="11">
        <v>4</v>
      </c>
      <c r="Z939" s="12">
        <f t="shared" si="177"/>
        <v>0</v>
      </c>
      <c r="AA939" s="4" t="s">
        <v>212</v>
      </c>
      <c r="AC939" s="176">
        <f t="shared" si="167"/>
        <v>0</v>
      </c>
    </row>
    <row r="940" spans="2:29">
      <c r="B940" s="183">
        <f t="shared" si="178"/>
        <v>27</v>
      </c>
      <c r="C940" s="107" t="str">
        <f t="shared" si="179"/>
        <v>ATK</v>
      </c>
      <c r="D940" s="2" t="s">
        <v>2583</v>
      </c>
      <c r="E940" s="3">
        <v>44013</v>
      </c>
      <c r="F940" s="3">
        <v>44013</v>
      </c>
      <c r="G940" s="108">
        <f t="shared" si="180"/>
        <v>7</v>
      </c>
      <c r="H940" s="108" t="str">
        <f t="shared" si="181"/>
        <v>완료</v>
      </c>
      <c r="I940" s="112" t="s">
        <v>218</v>
      </c>
      <c r="J940" s="4" t="s">
        <v>499</v>
      </c>
      <c r="K940" s="5" t="s">
        <v>499</v>
      </c>
      <c r="L940" s="6" t="str">
        <f t="shared" si="176"/>
        <v>QA</v>
      </c>
      <c r="M940" s="13"/>
      <c r="N940" s="7" t="s">
        <v>3870</v>
      </c>
      <c r="O940" s="13" t="s">
        <v>2584</v>
      </c>
      <c r="P940" s="115" t="s">
        <v>2585</v>
      </c>
      <c r="Q940" s="8"/>
      <c r="R940" s="2">
        <v>1</v>
      </c>
      <c r="S940" s="9">
        <v>5000</v>
      </c>
      <c r="T940" s="10">
        <f t="shared" si="192"/>
        <v>2500</v>
      </c>
      <c r="U940" s="9"/>
      <c r="V940" s="10">
        <f t="shared" si="193"/>
        <v>2500</v>
      </c>
      <c r="W940" s="4" t="s">
        <v>122</v>
      </c>
      <c r="X940" s="2"/>
      <c r="Y940" s="11">
        <v>5</v>
      </c>
      <c r="Z940" s="12">
        <f t="shared" si="177"/>
        <v>0</v>
      </c>
      <c r="AA940" s="4" t="s">
        <v>259</v>
      </c>
      <c r="AC940" s="176">
        <f t="shared" si="167"/>
        <v>0</v>
      </c>
    </row>
    <row r="941" spans="2:29">
      <c r="B941" s="183">
        <f t="shared" si="178"/>
        <v>27</v>
      </c>
      <c r="C941" s="107" t="str">
        <f t="shared" si="179"/>
        <v>ATK</v>
      </c>
      <c r="D941" s="2" t="s">
        <v>2586</v>
      </c>
      <c r="E941" s="3">
        <v>44014</v>
      </c>
      <c r="F941" s="3">
        <v>44014</v>
      </c>
      <c r="G941" s="108">
        <f t="shared" si="180"/>
        <v>7</v>
      </c>
      <c r="H941" s="108" t="str">
        <f t="shared" si="181"/>
        <v>완료</v>
      </c>
      <c r="I941" s="112" t="s">
        <v>2587</v>
      </c>
      <c r="J941" s="4" t="s">
        <v>2588</v>
      </c>
      <c r="K941" s="5" t="s">
        <v>1091</v>
      </c>
      <c r="L941" s="6" t="str">
        <f t="shared" si="176"/>
        <v>5T2</v>
      </c>
      <c r="M941" s="13" t="s">
        <v>2589</v>
      </c>
      <c r="N941" s="7" t="s">
        <v>3560</v>
      </c>
      <c r="O941" s="13" t="s">
        <v>2589</v>
      </c>
      <c r="P941" s="115" t="s">
        <v>2590</v>
      </c>
      <c r="Q941" s="8" t="s">
        <v>2593</v>
      </c>
      <c r="R941" s="2">
        <v>1</v>
      </c>
      <c r="S941" s="9">
        <v>910</v>
      </c>
      <c r="T941" s="10">
        <f t="shared" si="192"/>
        <v>455</v>
      </c>
      <c r="U941" s="9">
        <v>0</v>
      </c>
      <c r="V941" s="10">
        <f t="shared" si="193"/>
        <v>455</v>
      </c>
      <c r="W941" s="4" t="s">
        <v>2591</v>
      </c>
      <c r="X941" s="2"/>
      <c r="Y941" s="11">
        <v>2</v>
      </c>
      <c r="Z941" s="12">
        <f t="shared" si="177"/>
        <v>0</v>
      </c>
      <c r="AA941" s="4" t="s">
        <v>2592</v>
      </c>
      <c r="AC941" s="176">
        <f t="shared" si="167"/>
        <v>0</v>
      </c>
    </row>
    <row r="942" spans="2:29">
      <c r="B942" s="183">
        <f t="shared" si="178"/>
        <v>27</v>
      </c>
      <c r="C942" s="107" t="str">
        <f t="shared" si="179"/>
        <v>ATK</v>
      </c>
      <c r="D942" s="2" t="s">
        <v>2594</v>
      </c>
      <c r="E942" s="3">
        <v>44014</v>
      </c>
      <c r="F942" s="3">
        <v>44014</v>
      </c>
      <c r="G942" s="108">
        <f t="shared" si="180"/>
        <v>7</v>
      </c>
      <c r="H942" s="108" t="str">
        <f t="shared" si="181"/>
        <v>완료</v>
      </c>
      <c r="I942" s="112" t="s">
        <v>2595</v>
      </c>
      <c r="J942" s="4" t="s">
        <v>481</v>
      </c>
      <c r="K942" s="5" t="s">
        <v>1886</v>
      </c>
      <c r="L942" s="6" t="str">
        <f t="shared" si="176"/>
        <v>2T3</v>
      </c>
      <c r="M942" s="13" t="s">
        <v>270</v>
      </c>
      <c r="N942" s="7" t="s">
        <v>3560</v>
      </c>
      <c r="O942" s="13" t="s">
        <v>270</v>
      </c>
      <c r="P942" s="115" t="s">
        <v>2596</v>
      </c>
      <c r="Q942" s="8" t="s">
        <v>2597</v>
      </c>
      <c r="R942" s="2">
        <v>1</v>
      </c>
      <c r="S942" s="9">
        <v>710</v>
      </c>
      <c r="T942" s="10">
        <f t="shared" si="192"/>
        <v>355</v>
      </c>
      <c r="U942" s="9">
        <v>25</v>
      </c>
      <c r="V942" s="10">
        <f t="shared" si="193"/>
        <v>330</v>
      </c>
      <c r="W942" s="4" t="s">
        <v>2598</v>
      </c>
      <c r="X942" s="2"/>
      <c r="Y942" s="11">
        <v>2</v>
      </c>
      <c r="Z942" s="12">
        <f t="shared" si="177"/>
        <v>0</v>
      </c>
      <c r="AA942" s="4" t="s">
        <v>2599</v>
      </c>
      <c r="AC942" s="176">
        <f t="shared" si="167"/>
        <v>2.2727272727272728E-2</v>
      </c>
    </row>
    <row r="943" spans="2:29">
      <c r="B943" s="183">
        <f t="shared" si="178"/>
        <v>27</v>
      </c>
      <c r="C943" s="107" t="str">
        <f t="shared" si="179"/>
        <v>ATK</v>
      </c>
      <c r="D943" s="2" t="s">
        <v>280</v>
      </c>
      <c r="E943" s="3">
        <v>44013</v>
      </c>
      <c r="F943" s="3">
        <v>44013</v>
      </c>
      <c r="G943" s="108">
        <f t="shared" si="180"/>
        <v>7</v>
      </c>
      <c r="H943" s="108" t="str">
        <f t="shared" si="181"/>
        <v>완료</v>
      </c>
      <c r="I943" s="112" t="s">
        <v>264</v>
      </c>
      <c r="J943" s="4" t="s">
        <v>281</v>
      </c>
      <c r="K943" s="5" t="s">
        <v>282</v>
      </c>
      <c r="L943" s="6" t="str">
        <f t="shared" si="176"/>
        <v>EE1</v>
      </c>
      <c r="M943" s="13" t="s">
        <v>1143</v>
      </c>
      <c r="N943" s="7" t="s">
        <v>140</v>
      </c>
      <c r="O943" s="13" t="s">
        <v>2488</v>
      </c>
      <c r="P943" s="115" t="s">
        <v>2600</v>
      </c>
      <c r="Q943" s="8"/>
      <c r="R943" s="2">
        <v>1</v>
      </c>
      <c r="S943" s="9">
        <v>3000</v>
      </c>
      <c r="T943" s="10">
        <f t="shared" si="192"/>
        <v>1500</v>
      </c>
      <c r="U943" s="9">
        <v>20</v>
      </c>
      <c r="V943" s="10">
        <f t="shared" si="193"/>
        <v>1480</v>
      </c>
      <c r="W943" s="4" t="s">
        <v>249</v>
      </c>
      <c r="X943" s="2"/>
      <c r="Y943" s="11">
        <v>2</v>
      </c>
      <c r="Z943" s="12">
        <f t="shared" si="177"/>
        <v>0</v>
      </c>
      <c r="AA943" s="4" t="s">
        <v>27</v>
      </c>
      <c r="AC943" s="176">
        <f t="shared" si="167"/>
        <v>1.8181818181818181E-2</v>
      </c>
    </row>
    <row r="944" spans="2:29">
      <c r="B944" s="183">
        <f t="shared" si="178"/>
        <v>27</v>
      </c>
      <c r="C944" s="107" t="str">
        <f t="shared" si="179"/>
        <v>ATK</v>
      </c>
      <c r="D944" s="2" t="s">
        <v>2601</v>
      </c>
      <c r="E944" s="3">
        <v>44013</v>
      </c>
      <c r="F944" s="3">
        <v>44014</v>
      </c>
      <c r="G944" s="108">
        <f t="shared" si="180"/>
        <v>7</v>
      </c>
      <c r="H944" s="108" t="str">
        <f t="shared" si="181"/>
        <v>완료</v>
      </c>
      <c r="I944" s="112" t="s">
        <v>218</v>
      </c>
      <c r="J944" s="4" t="s">
        <v>118</v>
      </c>
      <c r="K944" s="5" t="s">
        <v>137</v>
      </c>
      <c r="L944" s="6" t="str">
        <f t="shared" si="176"/>
        <v>2T2</v>
      </c>
      <c r="M944" s="13" t="s">
        <v>256</v>
      </c>
      <c r="N944" s="7" t="s">
        <v>3529</v>
      </c>
      <c r="O944" s="13" t="s">
        <v>2602</v>
      </c>
      <c r="P944" s="115"/>
      <c r="Q944" s="8"/>
      <c r="R944" s="2">
        <v>1</v>
      </c>
      <c r="S944" s="9">
        <v>1600</v>
      </c>
      <c r="T944" s="10">
        <f t="shared" si="192"/>
        <v>800</v>
      </c>
      <c r="U944" s="9">
        <v>40</v>
      </c>
      <c r="V944" s="10">
        <f t="shared" si="193"/>
        <v>760</v>
      </c>
      <c r="W944" s="4" t="s">
        <v>249</v>
      </c>
      <c r="X944" s="2"/>
      <c r="Y944" s="11">
        <v>3</v>
      </c>
      <c r="Z944" s="12">
        <f t="shared" si="177"/>
        <v>1</v>
      </c>
      <c r="AA944" s="4" t="s">
        <v>27</v>
      </c>
      <c r="AC944" s="176">
        <f t="shared" si="167"/>
        <v>3.6363636363636362E-2</v>
      </c>
    </row>
    <row r="945" spans="2:29">
      <c r="B945" s="183">
        <f t="shared" si="178"/>
        <v>27</v>
      </c>
      <c r="C945" s="107" t="str">
        <f t="shared" si="179"/>
        <v>ATK</v>
      </c>
      <c r="D945" s="2" t="s">
        <v>2603</v>
      </c>
      <c r="E945" s="3">
        <v>44013</v>
      </c>
      <c r="F945" s="3">
        <v>44014</v>
      </c>
      <c r="G945" s="108">
        <f t="shared" si="180"/>
        <v>7</v>
      </c>
      <c r="H945" s="108" t="str">
        <f t="shared" si="181"/>
        <v>완료</v>
      </c>
      <c r="I945" s="112" t="s">
        <v>2604</v>
      </c>
      <c r="J945" s="4" t="s">
        <v>2605</v>
      </c>
      <c r="K945" s="5" t="s">
        <v>2299</v>
      </c>
      <c r="L945" s="6" t="str">
        <f t="shared" si="176"/>
        <v>2T3</v>
      </c>
      <c r="M945" s="13" t="s">
        <v>2483</v>
      </c>
      <c r="N945" s="7" t="s">
        <v>3871</v>
      </c>
      <c r="O945" s="13" t="s">
        <v>2483</v>
      </c>
      <c r="P945" s="115" t="s">
        <v>2606</v>
      </c>
      <c r="Q945" s="8"/>
      <c r="R945" s="2">
        <v>2</v>
      </c>
      <c r="S945" s="9">
        <v>1200</v>
      </c>
      <c r="T945" s="10">
        <f t="shared" si="192"/>
        <v>1200</v>
      </c>
      <c r="U945" s="9">
        <v>0</v>
      </c>
      <c r="V945" s="10">
        <f t="shared" si="193"/>
        <v>1200</v>
      </c>
      <c r="W945" s="4" t="s">
        <v>2607</v>
      </c>
      <c r="X945" s="2"/>
      <c r="Y945" s="11">
        <v>2</v>
      </c>
      <c r="Z945" s="12">
        <f t="shared" si="177"/>
        <v>1</v>
      </c>
      <c r="AA945" s="4" t="s">
        <v>2608</v>
      </c>
      <c r="AC945" s="176">
        <f t="shared" si="167"/>
        <v>0</v>
      </c>
    </row>
    <row r="946" spans="2:29">
      <c r="B946" s="183">
        <f t="shared" si="178"/>
        <v>27</v>
      </c>
      <c r="C946" s="107" t="str">
        <f t="shared" si="179"/>
        <v>ATK</v>
      </c>
      <c r="D946" s="2" t="s">
        <v>1355</v>
      </c>
      <c r="E946" s="3">
        <v>44013</v>
      </c>
      <c r="F946" s="3">
        <v>44014</v>
      </c>
      <c r="G946" s="108">
        <f t="shared" si="180"/>
        <v>7</v>
      </c>
      <c r="H946" s="108" t="str">
        <f t="shared" si="181"/>
        <v>완료</v>
      </c>
      <c r="I946" s="112" t="s">
        <v>2609</v>
      </c>
      <c r="J946" s="4" t="s">
        <v>1348</v>
      </c>
      <c r="K946" s="5" t="s">
        <v>2299</v>
      </c>
      <c r="L946" s="6" t="str">
        <f t="shared" si="176"/>
        <v>2T3</v>
      </c>
      <c r="M946" s="13" t="s">
        <v>2483</v>
      </c>
      <c r="N946" s="7" t="s">
        <v>3872</v>
      </c>
      <c r="O946" s="13" t="s">
        <v>2483</v>
      </c>
      <c r="P946" s="115" t="s">
        <v>2562</v>
      </c>
      <c r="Q946" s="8" t="s">
        <v>2612</v>
      </c>
      <c r="R946" s="2">
        <v>1</v>
      </c>
      <c r="S946" s="9">
        <v>351</v>
      </c>
      <c r="T946" s="10">
        <f t="shared" si="192"/>
        <v>175.5</v>
      </c>
      <c r="U946" s="9">
        <v>5</v>
      </c>
      <c r="V946" s="10">
        <f t="shared" si="193"/>
        <v>170.5</v>
      </c>
      <c r="W946" s="4" t="s">
        <v>2610</v>
      </c>
      <c r="X946" s="2"/>
      <c r="Y946" s="11">
        <v>1</v>
      </c>
      <c r="Z946" s="12">
        <f t="shared" si="177"/>
        <v>1</v>
      </c>
      <c r="AA946" s="4" t="s">
        <v>2611</v>
      </c>
      <c r="AC946" s="176">
        <f t="shared" si="167"/>
        <v>4.5454545454545452E-3</v>
      </c>
    </row>
    <row r="947" spans="2:29">
      <c r="B947" s="183">
        <f t="shared" si="178"/>
        <v>27</v>
      </c>
      <c r="C947" s="107" t="str">
        <f t="shared" si="179"/>
        <v>ATK</v>
      </c>
      <c r="D947" s="2" t="s">
        <v>1355</v>
      </c>
      <c r="E947" s="3">
        <v>44013</v>
      </c>
      <c r="F947" s="3">
        <v>44014</v>
      </c>
      <c r="G947" s="108">
        <f t="shared" si="180"/>
        <v>7</v>
      </c>
      <c r="H947" s="108" t="str">
        <f t="shared" si="181"/>
        <v>완료</v>
      </c>
      <c r="I947" s="112" t="s">
        <v>1501</v>
      </c>
      <c r="J947" s="4" t="s">
        <v>1348</v>
      </c>
      <c r="K947" s="5" t="s">
        <v>1886</v>
      </c>
      <c r="L947" s="6" t="str">
        <f t="shared" si="176"/>
        <v>2T3</v>
      </c>
      <c r="M947" s="13" t="s">
        <v>1887</v>
      </c>
      <c r="N947" s="7" t="s">
        <v>3631</v>
      </c>
      <c r="O947" s="13" t="s">
        <v>1887</v>
      </c>
      <c r="P947" s="115" t="s">
        <v>2613</v>
      </c>
      <c r="Q947" s="8" t="s">
        <v>2614</v>
      </c>
      <c r="R947" s="2">
        <v>1</v>
      </c>
      <c r="S947" s="9">
        <v>710</v>
      </c>
      <c r="T947" s="10">
        <f t="shared" ref="T947" si="194">(S947*50)/100*R947</f>
        <v>355</v>
      </c>
      <c r="U947" s="9">
        <v>0</v>
      </c>
      <c r="V947" s="10">
        <f t="shared" ref="V947" si="195">T947-U947</f>
        <v>355</v>
      </c>
      <c r="W947" s="4" t="s">
        <v>1094</v>
      </c>
      <c r="X947" s="2"/>
      <c r="Y947" s="11">
        <v>1</v>
      </c>
      <c r="Z947" s="12">
        <f t="shared" si="177"/>
        <v>1</v>
      </c>
      <c r="AA947" s="4" t="s">
        <v>1095</v>
      </c>
      <c r="AC947" s="176">
        <f t="shared" ref="AC947:AC1010" si="196">U947/1100</f>
        <v>0</v>
      </c>
    </row>
    <row r="948" spans="2:29">
      <c r="B948" s="183">
        <f t="shared" si="178"/>
        <v>27</v>
      </c>
      <c r="C948" s="107" t="str">
        <f t="shared" si="179"/>
        <v>ATK</v>
      </c>
      <c r="D948" s="2" t="s">
        <v>2615</v>
      </c>
      <c r="E948" s="3">
        <v>44014</v>
      </c>
      <c r="F948" s="3">
        <v>44014</v>
      </c>
      <c r="G948" s="108">
        <f t="shared" si="180"/>
        <v>7</v>
      </c>
      <c r="H948" s="108" t="str">
        <f t="shared" si="181"/>
        <v>완료</v>
      </c>
      <c r="I948" s="112" t="s">
        <v>218</v>
      </c>
      <c r="J948" s="4" t="s">
        <v>121</v>
      </c>
      <c r="K948" s="5" t="s">
        <v>136</v>
      </c>
      <c r="L948" s="6" t="str">
        <f t="shared" si="176"/>
        <v>5T1</v>
      </c>
      <c r="M948" s="13" t="s">
        <v>2616</v>
      </c>
      <c r="N948" s="7" t="s">
        <v>3517</v>
      </c>
      <c r="O948" s="13" t="s">
        <v>2617</v>
      </c>
      <c r="P948" s="115" t="s">
        <v>2618</v>
      </c>
      <c r="Q948" s="8"/>
      <c r="R948" s="2">
        <v>1</v>
      </c>
      <c r="S948" s="9">
        <v>3500</v>
      </c>
      <c r="T948" s="10">
        <f t="shared" si="192"/>
        <v>1750</v>
      </c>
      <c r="U948" s="9">
        <v>5</v>
      </c>
      <c r="V948" s="10">
        <f t="shared" si="193"/>
        <v>1745</v>
      </c>
      <c r="W948" s="4" t="s">
        <v>122</v>
      </c>
      <c r="X948" s="2"/>
      <c r="Y948" s="11">
        <v>2</v>
      </c>
      <c r="Z948" s="12">
        <f t="shared" si="177"/>
        <v>0</v>
      </c>
      <c r="AA948" s="4" t="s">
        <v>117</v>
      </c>
      <c r="AC948" s="176">
        <f t="shared" si="196"/>
        <v>4.5454545454545452E-3</v>
      </c>
    </row>
    <row r="949" spans="2:29">
      <c r="B949" s="183">
        <f t="shared" si="178"/>
        <v>27</v>
      </c>
      <c r="C949" s="107" t="str">
        <f t="shared" si="179"/>
        <v>ATK</v>
      </c>
      <c r="D949" s="2" t="s">
        <v>2619</v>
      </c>
      <c r="E949" s="3">
        <v>44014</v>
      </c>
      <c r="F949" s="3">
        <v>44015</v>
      </c>
      <c r="G949" s="108">
        <f t="shared" si="180"/>
        <v>7</v>
      </c>
      <c r="H949" s="108" t="str">
        <f t="shared" si="181"/>
        <v>완료</v>
      </c>
      <c r="I949" s="112" t="s">
        <v>218</v>
      </c>
      <c r="J949" s="4" t="s">
        <v>132</v>
      </c>
      <c r="K949" s="5" t="s">
        <v>322</v>
      </c>
      <c r="L949" s="6" t="str">
        <f t="shared" si="176"/>
        <v>3T1</v>
      </c>
      <c r="M949" s="13" t="s">
        <v>946</v>
      </c>
      <c r="N949" s="7" t="s">
        <v>3670</v>
      </c>
      <c r="O949" s="13" t="s">
        <v>1002</v>
      </c>
      <c r="P949" s="115" t="s">
        <v>1472</v>
      </c>
      <c r="Q949" s="8"/>
      <c r="R949" s="2">
        <v>1</v>
      </c>
      <c r="S949" s="9">
        <v>700</v>
      </c>
      <c r="T949" s="10">
        <f t="shared" si="192"/>
        <v>350</v>
      </c>
      <c r="U949" s="9">
        <v>5</v>
      </c>
      <c r="V949" s="10">
        <f t="shared" si="193"/>
        <v>345</v>
      </c>
      <c r="W949" s="4" t="s">
        <v>122</v>
      </c>
      <c r="X949" s="2"/>
      <c r="Y949" s="11">
        <v>1</v>
      </c>
      <c r="Z949" s="12">
        <f t="shared" si="177"/>
        <v>1</v>
      </c>
      <c r="AA949" s="4" t="s">
        <v>117</v>
      </c>
      <c r="AC949" s="176">
        <f t="shared" si="196"/>
        <v>4.5454545454545452E-3</v>
      </c>
    </row>
    <row r="950" spans="2:29">
      <c r="B950" s="183">
        <f t="shared" si="178"/>
        <v>27</v>
      </c>
      <c r="C950" s="107" t="str">
        <f t="shared" si="179"/>
        <v>ATK</v>
      </c>
      <c r="D950" s="2" t="s">
        <v>2620</v>
      </c>
      <c r="E950" s="3">
        <v>44014</v>
      </c>
      <c r="F950" s="3">
        <v>44014</v>
      </c>
      <c r="G950" s="108">
        <f t="shared" si="180"/>
        <v>7</v>
      </c>
      <c r="H950" s="108" t="str">
        <f t="shared" si="181"/>
        <v>완료</v>
      </c>
      <c r="I950" s="112" t="s">
        <v>218</v>
      </c>
      <c r="J950" s="4" t="s">
        <v>115</v>
      </c>
      <c r="K950" s="5" t="s">
        <v>138</v>
      </c>
      <c r="L950" s="6" t="str">
        <f t="shared" si="176"/>
        <v>EE1</v>
      </c>
      <c r="M950" s="13" t="s">
        <v>754</v>
      </c>
      <c r="N950" s="7"/>
      <c r="O950" s="13" t="s">
        <v>2621</v>
      </c>
      <c r="P950" s="115" t="s">
        <v>2622</v>
      </c>
      <c r="Q950" s="8"/>
      <c r="R950" s="2">
        <v>2</v>
      </c>
      <c r="S950" s="9">
        <v>2500</v>
      </c>
      <c r="T950" s="10">
        <f t="shared" si="192"/>
        <v>2500</v>
      </c>
      <c r="U950" s="9"/>
      <c r="V950" s="10">
        <f t="shared" si="193"/>
        <v>2500</v>
      </c>
      <c r="W950" s="4" t="s">
        <v>122</v>
      </c>
      <c r="X950" s="2"/>
      <c r="Y950" s="11">
        <v>5</v>
      </c>
      <c r="Z950" s="12">
        <f t="shared" si="177"/>
        <v>0</v>
      </c>
      <c r="AA950" s="4" t="s">
        <v>259</v>
      </c>
      <c r="AC950" s="176">
        <f t="shared" si="196"/>
        <v>0</v>
      </c>
    </row>
    <row r="951" spans="2:29">
      <c r="B951" s="183">
        <f t="shared" si="178"/>
        <v>27</v>
      </c>
      <c r="C951" s="107" t="str">
        <f t="shared" si="179"/>
        <v>ATK</v>
      </c>
      <c r="D951" s="2" t="s">
        <v>2625</v>
      </c>
      <c r="E951" s="3">
        <v>44014</v>
      </c>
      <c r="F951" s="3">
        <v>44015</v>
      </c>
      <c r="G951" s="108">
        <f t="shared" si="180"/>
        <v>7</v>
      </c>
      <c r="H951" s="108" t="str">
        <f t="shared" si="181"/>
        <v>완료</v>
      </c>
      <c r="I951" s="112" t="s">
        <v>2626</v>
      </c>
      <c r="J951" s="4" t="s">
        <v>2627</v>
      </c>
      <c r="K951" s="5" t="s">
        <v>2628</v>
      </c>
      <c r="L951" s="6" t="str">
        <f t="shared" si="176"/>
        <v>2T3</v>
      </c>
      <c r="M951" s="13" t="s">
        <v>2629</v>
      </c>
      <c r="N951" s="7" t="s">
        <v>3631</v>
      </c>
      <c r="O951" s="13" t="s">
        <v>270</v>
      </c>
      <c r="P951" s="115" t="s">
        <v>2630</v>
      </c>
      <c r="Q951" s="8" t="s">
        <v>2633</v>
      </c>
      <c r="R951" s="2">
        <v>1</v>
      </c>
      <c r="S951" s="9">
        <v>910</v>
      </c>
      <c r="T951" s="10">
        <f t="shared" si="192"/>
        <v>455</v>
      </c>
      <c r="U951" s="9">
        <v>25</v>
      </c>
      <c r="V951" s="10">
        <f t="shared" si="193"/>
        <v>430</v>
      </c>
      <c r="W951" s="4" t="s">
        <v>2631</v>
      </c>
      <c r="X951" s="2"/>
      <c r="Y951" s="11">
        <v>2</v>
      </c>
      <c r="Z951" s="12">
        <f t="shared" si="177"/>
        <v>1</v>
      </c>
      <c r="AA951" s="4" t="s">
        <v>2632</v>
      </c>
      <c r="AC951" s="176">
        <f t="shared" si="196"/>
        <v>2.2727272727272728E-2</v>
      </c>
    </row>
    <row r="952" spans="2:29">
      <c r="B952" s="183">
        <f t="shared" si="178"/>
        <v>27</v>
      </c>
      <c r="C952" s="107" t="str">
        <f t="shared" si="179"/>
        <v>ATK</v>
      </c>
      <c r="D952" s="2" t="s">
        <v>2634</v>
      </c>
      <c r="E952" s="3">
        <v>44014</v>
      </c>
      <c r="F952" s="3">
        <v>44015</v>
      </c>
      <c r="G952" s="108">
        <f t="shared" si="180"/>
        <v>7</v>
      </c>
      <c r="H952" s="108" t="str">
        <f t="shared" si="181"/>
        <v>Other</v>
      </c>
      <c r="I952" s="112" t="s">
        <v>2635</v>
      </c>
      <c r="J952" s="4" t="s">
        <v>2627</v>
      </c>
      <c r="K952" s="5" t="s">
        <v>2628</v>
      </c>
      <c r="L952" s="6" t="str">
        <f t="shared" si="176"/>
        <v>2T3</v>
      </c>
      <c r="M952" s="13" t="s">
        <v>270</v>
      </c>
      <c r="N952" s="7" t="s">
        <v>3598</v>
      </c>
      <c r="O952" s="13" t="s">
        <v>270</v>
      </c>
      <c r="P952" s="115" t="s">
        <v>2636</v>
      </c>
      <c r="Q952" s="8"/>
      <c r="R952" s="2">
        <v>1</v>
      </c>
      <c r="S952" s="9">
        <v>1800</v>
      </c>
      <c r="T952" s="10">
        <f t="shared" si="192"/>
        <v>900</v>
      </c>
      <c r="U952" s="9">
        <v>0</v>
      </c>
      <c r="V952" s="10">
        <f t="shared" si="193"/>
        <v>900</v>
      </c>
      <c r="W952" s="4" t="s">
        <v>2631</v>
      </c>
      <c r="X952" s="2"/>
      <c r="Y952" s="11">
        <v>1</v>
      </c>
      <c r="Z952" s="12">
        <f t="shared" si="177"/>
        <v>1</v>
      </c>
      <c r="AA952" s="4" t="s">
        <v>2632</v>
      </c>
      <c r="AC952" s="176">
        <f t="shared" si="196"/>
        <v>0</v>
      </c>
    </row>
    <row r="953" spans="2:29">
      <c r="B953" s="183">
        <f t="shared" si="178"/>
        <v>27</v>
      </c>
      <c r="C953" s="107" t="str">
        <f t="shared" si="179"/>
        <v>ATK</v>
      </c>
      <c r="D953" s="2" t="s">
        <v>272</v>
      </c>
      <c r="E953" s="3">
        <v>44014</v>
      </c>
      <c r="F953" s="3">
        <v>44015</v>
      </c>
      <c r="G953" s="108">
        <f t="shared" si="180"/>
        <v>7</v>
      </c>
      <c r="H953" s="108" t="str">
        <f t="shared" si="181"/>
        <v>완료</v>
      </c>
      <c r="I953" s="112" t="s">
        <v>218</v>
      </c>
      <c r="J953" s="4" t="s">
        <v>132</v>
      </c>
      <c r="K953" s="5" t="s">
        <v>1193</v>
      </c>
      <c r="L953" s="6" t="str">
        <f t="shared" si="176"/>
        <v>3T2</v>
      </c>
      <c r="M953" s="13" t="s">
        <v>2637</v>
      </c>
      <c r="N953" s="7" t="s">
        <v>3873</v>
      </c>
      <c r="O953" s="7" t="s">
        <v>2640</v>
      </c>
      <c r="P953" s="115" t="s">
        <v>2638</v>
      </c>
      <c r="Q953" s="8" t="s">
        <v>2639</v>
      </c>
      <c r="R953" s="2">
        <v>1</v>
      </c>
      <c r="S953" s="9">
        <v>300</v>
      </c>
      <c r="T953" s="10">
        <f t="shared" si="192"/>
        <v>150</v>
      </c>
      <c r="U953" s="9">
        <v>0</v>
      </c>
      <c r="V953" s="10">
        <f t="shared" si="193"/>
        <v>150</v>
      </c>
      <c r="W953" s="4" t="s">
        <v>122</v>
      </c>
      <c r="X953" s="2"/>
      <c r="Y953" s="11">
        <v>2</v>
      </c>
      <c r="Z953" s="12">
        <f t="shared" si="177"/>
        <v>1</v>
      </c>
      <c r="AA953" s="4" t="s">
        <v>120</v>
      </c>
      <c r="AC953" s="176">
        <f t="shared" si="196"/>
        <v>0</v>
      </c>
    </row>
    <row r="954" spans="2:29">
      <c r="B954" s="183">
        <f t="shared" si="178"/>
        <v>35</v>
      </c>
      <c r="C954" s="107" t="str">
        <f t="shared" si="179"/>
        <v>ATK</v>
      </c>
      <c r="D954" s="2" t="s">
        <v>272</v>
      </c>
      <c r="E954" s="3">
        <v>44014</v>
      </c>
      <c r="F954" s="3">
        <v>44070</v>
      </c>
      <c r="G954" s="108">
        <f t="shared" si="180"/>
        <v>8</v>
      </c>
      <c r="H954" s="108" t="str">
        <f t="shared" si="181"/>
        <v>완료</v>
      </c>
      <c r="I954" s="112" t="s">
        <v>218</v>
      </c>
      <c r="J954" s="4" t="s">
        <v>132</v>
      </c>
      <c r="K954" s="5" t="s">
        <v>1193</v>
      </c>
      <c r="L954" s="6" t="str">
        <f t="shared" si="176"/>
        <v>3T2</v>
      </c>
      <c r="M954" s="13" t="s">
        <v>2637</v>
      </c>
      <c r="N954" s="7" t="s">
        <v>3873</v>
      </c>
      <c r="O954" s="7" t="s">
        <v>2640</v>
      </c>
      <c r="P954" s="115" t="s">
        <v>4106</v>
      </c>
      <c r="Q954" s="8" t="s">
        <v>2641</v>
      </c>
      <c r="R954" s="2">
        <v>1</v>
      </c>
      <c r="S954" s="9">
        <v>300</v>
      </c>
      <c r="T954" s="10">
        <f t="shared" si="192"/>
        <v>150</v>
      </c>
      <c r="U954" s="9">
        <v>15</v>
      </c>
      <c r="V954" s="10">
        <f t="shared" si="193"/>
        <v>135</v>
      </c>
      <c r="W954" s="4" t="s">
        <v>122</v>
      </c>
      <c r="X954" s="2"/>
      <c r="Y954" s="11">
        <v>4</v>
      </c>
      <c r="Z954" s="12">
        <f t="shared" si="177"/>
        <v>56</v>
      </c>
      <c r="AA954" s="4" t="s">
        <v>120</v>
      </c>
      <c r="AC954" s="176">
        <f t="shared" si="196"/>
        <v>1.3636363636363636E-2</v>
      </c>
    </row>
    <row r="955" spans="2:29">
      <c r="B955" s="183">
        <f t="shared" si="178"/>
        <v>27</v>
      </c>
      <c r="C955" s="107" t="str">
        <f t="shared" si="179"/>
        <v>ATK</v>
      </c>
      <c r="D955" s="2" t="s">
        <v>2642</v>
      </c>
      <c r="E955" s="3">
        <v>44014</v>
      </c>
      <c r="F955" s="3">
        <v>44014</v>
      </c>
      <c r="G955" s="108">
        <f t="shared" si="180"/>
        <v>7</v>
      </c>
      <c r="H955" s="108" t="str">
        <f t="shared" si="181"/>
        <v>완료</v>
      </c>
      <c r="I955" s="112" t="s">
        <v>218</v>
      </c>
      <c r="J955" s="4" t="s">
        <v>115</v>
      </c>
      <c r="K955" s="5" t="s">
        <v>138</v>
      </c>
      <c r="L955" s="6" t="str">
        <f t="shared" si="176"/>
        <v>EE1</v>
      </c>
      <c r="M955" s="13" t="s">
        <v>754</v>
      </c>
      <c r="N955" s="7" t="s">
        <v>3874</v>
      </c>
      <c r="O955" s="13" t="s">
        <v>2643</v>
      </c>
      <c r="P955" s="115" t="s">
        <v>2644</v>
      </c>
      <c r="Q955" s="8" t="s">
        <v>2645</v>
      </c>
      <c r="R955" s="2">
        <v>1</v>
      </c>
      <c r="S955" s="9">
        <v>6000</v>
      </c>
      <c r="T955" s="10">
        <f t="shared" si="192"/>
        <v>3000</v>
      </c>
      <c r="U955" s="9">
        <v>0</v>
      </c>
      <c r="V955" s="10">
        <f t="shared" si="193"/>
        <v>3000</v>
      </c>
      <c r="W955" s="4" t="s">
        <v>122</v>
      </c>
      <c r="X955" s="2"/>
      <c r="Y955" s="11">
        <v>4</v>
      </c>
      <c r="Z955" s="12">
        <f t="shared" si="177"/>
        <v>0</v>
      </c>
      <c r="AA955" s="4" t="s">
        <v>120</v>
      </c>
      <c r="AC955" s="176">
        <f t="shared" si="196"/>
        <v>0</v>
      </c>
    </row>
    <row r="956" spans="2:29">
      <c r="B956" s="183">
        <f t="shared" si="178"/>
        <v>27</v>
      </c>
      <c r="C956" s="107" t="str">
        <f t="shared" si="179"/>
        <v>ATK</v>
      </c>
      <c r="D956" s="2" t="s">
        <v>2646</v>
      </c>
      <c r="E956" s="3">
        <v>44014</v>
      </c>
      <c r="F956" s="3">
        <v>44015</v>
      </c>
      <c r="G956" s="108">
        <f t="shared" si="180"/>
        <v>7</v>
      </c>
      <c r="H956" s="108" t="str">
        <f t="shared" si="181"/>
        <v>완료</v>
      </c>
      <c r="I956" s="112" t="s">
        <v>2647</v>
      </c>
      <c r="J956" s="4" t="s">
        <v>2648</v>
      </c>
      <c r="K956" s="5" t="s">
        <v>1762</v>
      </c>
      <c r="L956" s="6" t="str">
        <f t="shared" si="176"/>
        <v>1T1</v>
      </c>
      <c r="M956" s="13" t="s">
        <v>2649</v>
      </c>
      <c r="N956" s="7" t="s">
        <v>3560</v>
      </c>
      <c r="O956" s="13" t="s">
        <v>1912</v>
      </c>
      <c r="P956" s="115" t="s">
        <v>2650</v>
      </c>
      <c r="Q956" s="8" t="s">
        <v>2651</v>
      </c>
      <c r="R956" s="2">
        <v>1</v>
      </c>
      <c r="S956" s="9">
        <v>910</v>
      </c>
      <c r="T956" s="10">
        <f t="shared" si="192"/>
        <v>455</v>
      </c>
      <c r="U956" s="9">
        <v>25</v>
      </c>
      <c r="V956" s="10">
        <f t="shared" si="193"/>
        <v>430</v>
      </c>
      <c r="W956" s="4" t="s">
        <v>2652</v>
      </c>
      <c r="X956" s="2"/>
      <c r="Y956" s="11">
        <v>1</v>
      </c>
      <c r="Z956" s="12">
        <f t="shared" si="177"/>
        <v>1</v>
      </c>
      <c r="AA956" s="4" t="s">
        <v>2653</v>
      </c>
      <c r="AC956" s="176">
        <f t="shared" si="196"/>
        <v>2.2727272727272728E-2</v>
      </c>
    </row>
    <row r="957" spans="2:29">
      <c r="B957" s="183">
        <f t="shared" si="178"/>
        <v>27</v>
      </c>
      <c r="C957" s="107" t="str">
        <f t="shared" si="179"/>
        <v>ATK</v>
      </c>
      <c r="D957" s="2" t="s">
        <v>2646</v>
      </c>
      <c r="E957" s="3">
        <v>44014</v>
      </c>
      <c r="F957" s="3">
        <v>44015</v>
      </c>
      <c r="G957" s="108">
        <f t="shared" si="180"/>
        <v>7</v>
      </c>
      <c r="H957" s="108" t="str">
        <f t="shared" si="181"/>
        <v>완료</v>
      </c>
      <c r="I957" s="112" t="s">
        <v>264</v>
      </c>
      <c r="J957" s="4" t="s">
        <v>205</v>
      </c>
      <c r="K957" s="5" t="s">
        <v>206</v>
      </c>
      <c r="L957" s="6" t="str">
        <f t="shared" si="176"/>
        <v>1T1</v>
      </c>
      <c r="M957" s="13" t="s">
        <v>270</v>
      </c>
      <c r="N957" s="7" t="s">
        <v>3560</v>
      </c>
      <c r="O957" s="13" t="s">
        <v>270</v>
      </c>
      <c r="P957" s="115" t="s">
        <v>2655</v>
      </c>
      <c r="Q957" s="8" t="s">
        <v>2654</v>
      </c>
      <c r="R957" s="2">
        <v>1</v>
      </c>
      <c r="S957" s="9">
        <v>910</v>
      </c>
      <c r="T957" s="10">
        <f t="shared" ref="T957" si="197">(S957*50)/100*R957</f>
        <v>455</v>
      </c>
      <c r="U957" s="9">
        <v>25</v>
      </c>
      <c r="V957" s="10">
        <f t="shared" ref="V957" si="198">T957-U957</f>
        <v>430</v>
      </c>
      <c r="W957" s="4" t="s">
        <v>249</v>
      </c>
      <c r="X957" s="2"/>
      <c r="Y957" s="11">
        <v>2</v>
      </c>
      <c r="Z957" s="12">
        <f t="shared" si="177"/>
        <v>1</v>
      </c>
      <c r="AA957" s="4" t="s">
        <v>174</v>
      </c>
      <c r="AC957" s="176">
        <f t="shared" si="196"/>
        <v>2.2727272727272728E-2</v>
      </c>
    </row>
    <row r="958" spans="2:29" ht="24">
      <c r="B958" s="183">
        <f t="shared" si="178"/>
        <v>27</v>
      </c>
      <c r="C958" s="107" t="str">
        <f t="shared" si="179"/>
        <v>ATK</v>
      </c>
      <c r="D958" s="2" t="s">
        <v>2656</v>
      </c>
      <c r="E958" s="3">
        <v>44015</v>
      </c>
      <c r="F958" s="3">
        <v>44015</v>
      </c>
      <c r="G958" s="108">
        <f t="shared" si="180"/>
        <v>7</v>
      </c>
      <c r="H958" s="108" t="str">
        <f t="shared" si="181"/>
        <v>완료</v>
      </c>
      <c r="I958" s="112" t="s">
        <v>218</v>
      </c>
      <c r="J958" s="4" t="s">
        <v>132</v>
      </c>
      <c r="K958" s="5" t="s">
        <v>133</v>
      </c>
      <c r="L958" s="6" t="str">
        <f t="shared" si="176"/>
        <v>3T3</v>
      </c>
      <c r="M958" s="13" t="s">
        <v>913</v>
      </c>
      <c r="N958" s="7" t="s">
        <v>3875</v>
      </c>
      <c r="O958" s="13" t="s">
        <v>2657</v>
      </c>
      <c r="P958" s="115" t="s">
        <v>2682</v>
      </c>
      <c r="Q958" s="8"/>
      <c r="R958" s="2">
        <v>1</v>
      </c>
      <c r="S958" s="9">
        <v>132</v>
      </c>
      <c r="T958" s="10">
        <f t="shared" si="192"/>
        <v>66</v>
      </c>
      <c r="U958" s="9">
        <v>2</v>
      </c>
      <c r="V958" s="10">
        <f t="shared" si="193"/>
        <v>64</v>
      </c>
      <c r="W958" s="4" t="s">
        <v>122</v>
      </c>
      <c r="X958" s="2"/>
      <c r="Y958" s="11">
        <v>4</v>
      </c>
      <c r="Z958" s="12">
        <f t="shared" si="177"/>
        <v>0</v>
      </c>
      <c r="AA958" s="4" t="s">
        <v>120</v>
      </c>
      <c r="AC958" s="176">
        <f t="shared" si="196"/>
        <v>1.8181818181818182E-3</v>
      </c>
    </row>
    <row r="959" spans="2:29">
      <c r="B959" s="183">
        <f t="shared" si="178"/>
        <v>27</v>
      </c>
      <c r="C959" s="107" t="str">
        <f t="shared" si="179"/>
        <v>ATK</v>
      </c>
      <c r="D959" s="2" t="s">
        <v>2658</v>
      </c>
      <c r="E959" s="3">
        <v>44014</v>
      </c>
      <c r="F959" s="3">
        <v>44015</v>
      </c>
      <c r="G959" s="108">
        <f t="shared" si="180"/>
        <v>7</v>
      </c>
      <c r="H959" s="108" t="str">
        <f t="shared" si="181"/>
        <v>완료</v>
      </c>
      <c r="I959" s="112" t="s">
        <v>2659</v>
      </c>
      <c r="J959" s="4" t="s">
        <v>2660</v>
      </c>
      <c r="K959" s="5" t="s">
        <v>2661</v>
      </c>
      <c r="L959" s="6" t="str">
        <f t="shared" si="176"/>
        <v>2T1</v>
      </c>
      <c r="M959" s="13" t="s">
        <v>270</v>
      </c>
      <c r="N959" s="7" t="s">
        <v>3560</v>
      </c>
      <c r="O959" s="13" t="s">
        <v>270</v>
      </c>
      <c r="P959" s="115" t="s">
        <v>2662</v>
      </c>
      <c r="Q959" s="8" t="s">
        <v>2663</v>
      </c>
      <c r="R959" s="2">
        <v>1</v>
      </c>
      <c r="S959" s="9">
        <v>910</v>
      </c>
      <c r="T959" s="10">
        <f t="shared" si="192"/>
        <v>455</v>
      </c>
      <c r="U959" s="9">
        <v>25</v>
      </c>
      <c r="V959" s="10">
        <f t="shared" si="193"/>
        <v>430</v>
      </c>
      <c r="W959" s="4" t="s">
        <v>2664</v>
      </c>
      <c r="X959" s="2"/>
      <c r="Y959" s="11">
        <v>2</v>
      </c>
      <c r="Z959" s="12">
        <f t="shared" si="177"/>
        <v>1</v>
      </c>
      <c r="AA959" s="4" t="s">
        <v>2665</v>
      </c>
      <c r="AC959" s="176">
        <f t="shared" si="196"/>
        <v>2.2727272727272728E-2</v>
      </c>
    </row>
    <row r="960" spans="2:29">
      <c r="B960" s="183">
        <f t="shared" si="178"/>
        <v>27</v>
      </c>
      <c r="C960" s="107" t="str">
        <f t="shared" si="179"/>
        <v>ATK</v>
      </c>
      <c r="D960" s="2" t="s">
        <v>2666</v>
      </c>
      <c r="E960" s="3">
        <v>44015</v>
      </c>
      <c r="F960" s="3">
        <v>44015</v>
      </c>
      <c r="G960" s="108">
        <f t="shared" si="180"/>
        <v>7</v>
      </c>
      <c r="H960" s="108" t="str">
        <f t="shared" si="181"/>
        <v>완료</v>
      </c>
      <c r="I960" s="112" t="s">
        <v>218</v>
      </c>
      <c r="J960" s="4" t="s">
        <v>127</v>
      </c>
      <c r="K960" s="5" t="s">
        <v>128</v>
      </c>
      <c r="L960" s="6" t="str">
        <f t="shared" si="176"/>
        <v>1T1</v>
      </c>
      <c r="M960" s="13" t="s">
        <v>2667</v>
      </c>
      <c r="N960" s="7" t="s">
        <v>3876</v>
      </c>
      <c r="O960" s="13" t="s">
        <v>2668</v>
      </c>
      <c r="P960" s="115" t="s">
        <v>2669</v>
      </c>
      <c r="Q960" s="8" t="s">
        <v>2670</v>
      </c>
      <c r="R960" s="2">
        <v>1</v>
      </c>
      <c r="S960" s="9">
        <v>4200</v>
      </c>
      <c r="T960" s="10">
        <f t="shared" si="192"/>
        <v>2100</v>
      </c>
      <c r="U960" s="9">
        <v>3</v>
      </c>
      <c r="V960" s="10">
        <f t="shared" si="193"/>
        <v>2097</v>
      </c>
      <c r="W960" s="4" t="s">
        <v>122</v>
      </c>
      <c r="X960" s="2"/>
      <c r="Y960" s="11">
        <v>4</v>
      </c>
      <c r="Z960" s="12">
        <f t="shared" si="177"/>
        <v>0</v>
      </c>
      <c r="AA960" s="4" t="s">
        <v>120</v>
      </c>
      <c r="AC960" s="176">
        <f t="shared" si="196"/>
        <v>2.7272727272727275E-3</v>
      </c>
    </row>
    <row r="961" spans="2:29">
      <c r="B961" s="183">
        <f t="shared" si="178"/>
        <v>28</v>
      </c>
      <c r="C961" s="107" t="str">
        <f t="shared" si="179"/>
        <v>ATK</v>
      </c>
      <c r="D961" s="2" t="s">
        <v>2671</v>
      </c>
      <c r="E961" s="3">
        <v>44015</v>
      </c>
      <c r="F961" s="3">
        <v>44018</v>
      </c>
      <c r="G961" s="108">
        <f t="shared" si="180"/>
        <v>7</v>
      </c>
      <c r="H961" s="108" t="str">
        <f t="shared" si="181"/>
        <v>완료</v>
      </c>
      <c r="I961" s="112" t="s">
        <v>2672</v>
      </c>
      <c r="J961" s="4" t="s">
        <v>2673</v>
      </c>
      <c r="K961" s="5" t="s">
        <v>2674</v>
      </c>
      <c r="L961" s="6" t="str">
        <f t="shared" si="176"/>
        <v>5T2</v>
      </c>
      <c r="M961" s="13" t="s">
        <v>1887</v>
      </c>
      <c r="N961" s="7" t="s">
        <v>3631</v>
      </c>
      <c r="O961" s="13" t="s">
        <v>1887</v>
      </c>
      <c r="P961" s="115" t="s">
        <v>2675</v>
      </c>
      <c r="Q961" s="8" t="s">
        <v>2676</v>
      </c>
      <c r="R961" s="2">
        <v>1</v>
      </c>
      <c r="S961" s="9">
        <v>710</v>
      </c>
      <c r="T961" s="10">
        <f t="shared" si="192"/>
        <v>355</v>
      </c>
      <c r="U961" s="9">
        <v>25</v>
      </c>
      <c r="V961" s="10">
        <f t="shared" si="193"/>
        <v>330</v>
      </c>
      <c r="W961" s="4" t="s">
        <v>2677</v>
      </c>
      <c r="X961" s="2"/>
      <c r="Y961" s="11">
        <v>2</v>
      </c>
      <c r="Z961" s="12">
        <f t="shared" si="177"/>
        <v>3</v>
      </c>
      <c r="AA961" s="4" t="s">
        <v>2678</v>
      </c>
      <c r="AC961" s="176">
        <f t="shared" si="196"/>
        <v>2.2727272727272728E-2</v>
      </c>
    </row>
    <row r="962" spans="2:29">
      <c r="B962" s="183">
        <f t="shared" si="178"/>
        <v>28</v>
      </c>
      <c r="C962" s="107" t="str">
        <f t="shared" si="179"/>
        <v>ATK</v>
      </c>
      <c r="D962" s="2" t="s">
        <v>2671</v>
      </c>
      <c r="E962" s="3">
        <v>44015</v>
      </c>
      <c r="F962" s="3">
        <v>44018</v>
      </c>
      <c r="G962" s="108">
        <f t="shared" si="180"/>
        <v>7</v>
      </c>
      <c r="H962" s="108" t="str">
        <f t="shared" si="181"/>
        <v>완료</v>
      </c>
      <c r="I962" s="112" t="s">
        <v>2672</v>
      </c>
      <c r="J962" s="4" t="s">
        <v>2673</v>
      </c>
      <c r="K962" s="5" t="s">
        <v>2674</v>
      </c>
      <c r="L962" s="6" t="str">
        <f t="shared" ref="L962:L1025" si="199">LEFT(K962,3)</f>
        <v>5T2</v>
      </c>
      <c r="M962" s="13" t="s">
        <v>1887</v>
      </c>
      <c r="N962" s="7" t="s">
        <v>3631</v>
      </c>
      <c r="O962" s="13" t="s">
        <v>1887</v>
      </c>
      <c r="P962" s="115" t="s">
        <v>2675</v>
      </c>
      <c r="Q962" s="8" t="s">
        <v>2679</v>
      </c>
      <c r="R962" s="2">
        <v>1</v>
      </c>
      <c r="S962" s="9">
        <v>710</v>
      </c>
      <c r="T962" s="10">
        <f t="shared" ref="T962:T963" si="200">(S962*50)/100*R962</f>
        <v>355</v>
      </c>
      <c r="U962" s="9">
        <v>25</v>
      </c>
      <c r="V962" s="10">
        <f t="shared" ref="V962:V963" si="201">T962-U962</f>
        <v>330</v>
      </c>
      <c r="W962" s="4" t="s">
        <v>2677</v>
      </c>
      <c r="X962" s="2"/>
      <c r="Y962" s="11">
        <v>1</v>
      </c>
      <c r="Z962" s="12">
        <f t="shared" ref="Z962:Z1025" si="202">F962-E962</f>
        <v>3</v>
      </c>
      <c r="AA962" s="4" t="s">
        <v>2678</v>
      </c>
      <c r="AC962" s="176">
        <f t="shared" si="196"/>
        <v>2.2727272727272728E-2</v>
      </c>
    </row>
    <row r="963" spans="2:29">
      <c r="B963" s="183">
        <f t="shared" ref="B963:B1026" si="203">IF(F963&gt;0,IFERROR(WEEKNUM(F963),""),"")</f>
        <v>27</v>
      </c>
      <c r="C963" s="107" t="str">
        <f t="shared" ref="C963:C1026" si="204">IF(D963=0,"",(IF(LEFT(D963,3)="ATK","ATK",IF(LEFT(D963,2)="AT",D963,"ATK"))))</f>
        <v>ATK</v>
      </c>
      <c r="D963" s="2" t="s">
        <v>2499</v>
      </c>
      <c r="E963" s="3">
        <v>44011</v>
      </c>
      <c r="F963" s="3">
        <v>44011</v>
      </c>
      <c r="G963" s="108">
        <f t="shared" ref="G963:G1026" si="205">IF(F963&gt;0,MONTH(F963),"")</f>
        <v>6</v>
      </c>
      <c r="H963" s="108" t="str">
        <f t="shared" ref="H963:H1026" si="206">IF(I963=0,"",IF(RIGHT(I963,2)="완료","완료",IF(RIGHT(I963,2)="불가","수리불가",IF(RIGHT(I963,1)="중","수리중","Other"))))</f>
        <v>완료</v>
      </c>
      <c r="I963" s="112" t="s">
        <v>2099</v>
      </c>
      <c r="J963" s="4" t="s">
        <v>2500</v>
      </c>
      <c r="K963" s="5" t="s">
        <v>1098</v>
      </c>
      <c r="L963" s="6" t="str">
        <f t="shared" si="199"/>
        <v>5T2</v>
      </c>
      <c r="M963" s="13" t="s">
        <v>270</v>
      </c>
      <c r="N963" s="7" t="s">
        <v>3860</v>
      </c>
      <c r="O963" s="13" t="s">
        <v>270</v>
      </c>
      <c r="P963" s="115" t="s">
        <v>2680</v>
      </c>
      <c r="Q963" s="8"/>
      <c r="R963" s="2">
        <v>1</v>
      </c>
      <c r="S963" s="9">
        <v>700</v>
      </c>
      <c r="T963" s="10">
        <f t="shared" si="200"/>
        <v>350</v>
      </c>
      <c r="U963" s="9">
        <v>0</v>
      </c>
      <c r="V963" s="10">
        <f t="shared" si="201"/>
        <v>350</v>
      </c>
      <c r="W963" s="4" t="s">
        <v>2084</v>
      </c>
      <c r="X963" s="2"/>
      <c r="Y963" s="11">
        <v>1</v>
      </c>
      <c r="Z963" s="12">
        <f t="shared" si="202"/>
        <v>0</v>
      </c>
      <c r="AA963" s="4" t="s">
        <v>2085</v>
      </c>
      <c r="AC963" s="176">
        <f t="shared" si="196"/>
        <v>0</v>
      </c>
    </row>
    <row r="964" spans="2:29" ht="16.5" customHeight="1">
      <c r="B964" s="183">
        <f t="shared" si="203"/>
        <v>28</v>
      </c>
      <c r="C964" s="107" t="str">
        <f t="shared" si="204"/>
        <v>ATK</v>
      </c>
      <c r="D964" s="2" t="s">
        <v>2681</v>
      </c>
      <c r="E964" s="3">
        <v>44015</v>
      </c>
      <c r="F964" s="3">
        <v>44018</v>
      </c>
      <c r="G964" s="108">
        <f t="shared" si="205"/>
        <v>7</v>
      </c>
      <c r="H964" s="108" t="str">
        <f t="shared" si="206"/>
        <v>완료</v>
      </c>
      <c r="I964" s="112" t="s">
        <v>218</v>
      </c>
      <c r="J964" s="4" t="s">
        <v>132</v>
      </c>
      <c r="K964" s="5" t="s">
        <v>133</v>
      </c>
      <c r="L964" s="6" t="str">
        <f t="shared" si="199"/>
        <v>3T3</v>
      </c>
      <c r="M964" s="13" t="s">
        <v>913</v>
      </c>
      <c r="N964" s="7" t="s">
        <v>3875</v>
      </c>
      <c r="O964" s="13" t="s">
        <v>2657</v>
      </c>
      <c r="P964" s="115" t="s">
        <v>2683</v>
      </c>
      <c r="Q964" s="8"/>
      <c r="R964" s="2">
        <v>1</v>
      </c>
      <c r="S964" s="9">
        <v>132</v>
      </c>
      <c r="T964" s="10">
        <f t="shared" si="192"/>
        <v>66</v>
      </c>
      <c r="U964" s="9">
        <v>3</v>
      </c>
      <c r="V964" s="10">
        <f t="shared" si="193"/>
        <v>63</v>
      </c>
      <c r="W964" s="4" t="s">
        <v>122</v>
      </c>
      <c r="X964" s="2"/>
      <c r="Y964" s="11">
        <v>5</v>
      </c>
      <c r="Z964" s="12">
        <f t="shared" si="202"/>
        <v>3</v>
      </c>
      <c r="AA964" s="4" t="s">
        <v>120</v>
      </c>
      <c r="AC964" s="176">
        <f t="shared" si="196"/>
        <v>2.7272727272727275E-3</v>
      </c>
    </row>
    <row r="965" spans="2:29">
      <c r="B965" s="183">
        <f t="shared" si="203"/>
        <v>28</v>
      </c>
      <c r="C965" s="107" t="str">
        <f t="shared" si="204"/>
        <v>ATK</v>
      </c>
      <c r="D965" s="2" t="s">
        <v>2684</v>
      </c>
      <c r="E965" s="3">
        <v>44015</v>
      </c>
      <c r="F965" s="3">
        <v>44018</v>
      </c>
      <c r="G965" s="108">
        <f t="shared" si="205"/>
        <v>7</v>
      </c>
      <c r="H965" s="108" t="str">
        <f t="shared" si="206"/>
        <v>Other</v>
      </c>
      <c r="I965" s="112" t="s">
        <v>2685</v>
      </c>
      <c r="J965" s="4" t="s">
        <v>2686</v>
      </c>
      <c r="K965" s="5" t="s">
        <v>1762</v>
      </c>
      <c r="L965" s="6" t="str">
        <f t="shared" si="199"/>
        <v>1T1</v>
      </c>
      <c r="M965" s="13" t="s">
        <v>1200</v>
      </c>
      <c r="N965" s="7" t="s">
        <v>3490</v>
      </c>
      <c r="O965" s="13" t="s">
        <v>1200</v>
      </c>
      <c r="P965" s="115" t="s">
        <v>2687</v>
      </c>
      <c r="Q965" s="8"/>
      <c r="R965" s="2">
        <v>1</v>
      </c>
      <c r="S965" s="9">
        <v>1900</v>
      </c>
      <c r="T965" s="10">
        <f t="shared" si="192"/>
        <v>950</v>
      </c>
      <c r="U965" s="9">
        <v>0</v>
      </c>
      <c r="V965" s="10">
        <f t="shared" si="193"/>
        <v>950</v>
      </c>
      <c r="W965" s="4" t="s">
        <v>2688</v>
      </c>
      <c r="X965" s="2"/>
      <c r="Y965" s="11">
        <v>2</v>
      </c>
      <c r="Z965" s="12">
        <f t="shared" si="202"/>
        <v>3</v>
      </c>
      <c r="AA965" s="4" t="s">
        <v>2689</v>
      </c>
      <c r="AC965" s="176">
        <f t="shared" si="196"/>
        <v>0</v>
      </c>
    </row>
    <row r="966" spans="2:29">
      <c r="B966" s="183">
        <f t="shared" si="203"/>
        <v>28</v>
      </c>
      <c r="C966" s="107" t="str">
        <f t="shared" si="204"/>
        <v>ATK</v>
      </c>
      <c r="D966" s="2" t="s">
        <v>2690</v>
      </c>
      <c r="E966" s="3">
        <v>44018</v>
      </c>
      <c r="F966" s="3">
        <v>44018</v>
      </c>
      <c r="G966" s="108">
        <f t="shared" si="205"/>
        <v>7</v>
      </c>
      <c r="H966" s="108" t="str">
        <f t="shared" si="206"/>
        <v>완료</v>
      </c>
      <c r="I966" s="112" t="s">
        <v>218</v>
      </c>
      <c r="J966" s="4" t="s">
        <v>139</v>
      </c>
      <c r="K966" s="5" t="s">
        <v>229</v>
      </c>
      <c r="L966" s="6" t="str">
        <f t="shared" si="199"/>
        <v>5T2</v>
      </c>
      <c r="M966" s="13"/>
      <c r="N966" s="7" t="s">
        <v>3726</v>
      </c>
      <c r="O966" s="13" t="s">
        <v>2691</v>
      </c>
      <c r="P966" s="115"/>
      <c r="Q966" s="8"/>
      <c r="R966" s="2">
        <v>2</v>
      </c>
      <c r="S966" s="9">
        <v>1200</v>
      </c>
      <c r="T966" s="10">
        <f t="shared" si="192"/>
        <v>1200</v>
      </c>
      <c r="U966" s="9"/>
      <c r="V966" s="10">
        <f t="shared" si="193"/>
        <v>1200</v>
      </c>
      <c r="W966" s="4" t="s">
        <v>122</v>
      </c>
      <c r="X966" s="2"/>
      <c r="Y966" s="11">
        <v>5</v>
      </c>
      <c r="Z966" s="12">
        <f t="shared" si="202"/>
        <v>0</v>
      </c>
      <c r="AA966" s="4" t="s">
        <v>259</v>
      </c>
      <c r="AC966" s="176">
        <f t="shared" si="196"/>
        <v>0</v>
      </c>
    </row>
    <row r="967" spans="2:29">
      <c r="B967" s="183">
        <f t="shared" si="203"/>
        <v>28</v>
      </c>
      <c r="C967" s="107" t="str">
        <f t="shared" si="204"/>
        <v>ATK</v>
      </c>
      <c r="D967" s="2" t="s">
        <v>2692</v>
      </c>
      <c r="E967" s="3">
        <v>44018</v>
      </c>
      <c r="F967" s="3">
        <v>44022</v>
      </c>
      <c r="G967" s="108">
        <f t="shared" si="205"/>
        <v>7</v>
      </c>
      <c r="H967" s="108" t="str">
        <f t="shared" si="206"/>
        <v>완료</v>
      </c>
      <c r="I967" s="112" t="s">
        <v>218</v>
      </c>
      <c r="J967" s="4" t="s">
        <v>281</v>
      </c>
      <c r="K967" s="5" t="s">
        <v>2697</v>
      </c>
      <c r="L967" s="6" t="str">
        <f t="shared" si="199"/>
        <v>EE2</v>
      </c>
      <c r="M967" s="13" t="s">
        <v>256</v>
      </c>
      <c r="N967" s="7" t="s">
        <v>3877</v>
      </c>
      <c r="O967" s="13" t="s">
        <v>2698</v>
      </c>
      <c r="P967" s="115"/>
      <c r="Q967" s="8"/>
      <c r="R967" s="2">
        <v>1</v>
      </c>
      <c r="S967" s="9">
        <v>3500</v>
      </c>
      <c r="T967" s="10">
        <f t="shared" si="192"/>
        <v>1750</v>
      </c>
      <c r="U967" s="9">
        <v>1</v>
      </c>
      <c r="V967" s="10">
        <f t="shared" si="193"/>
        <v>1749</v>
      </c>
      <c r="W967" s="4" t="s">
        <v>122</v>
      </c>
      <c r="X967" s="2"/>
      <c r="Y967" s="11">
        <v>2</v>
      </c>
      <c r="Z967" s="12">
        <f t="shared" si="202"/>
        <v>4</v>
      </c>
      <c r="AA967" s="4" t="s">
        <v>2699</v>
      </c>
      <c r="AC967" s="176">
        <f t="shared" si="196"/>
        <v>9.0909090909090909E-4</v>
      </c>
    </row>
    <row r="968" spans="2:29">
      <c r="B968" s="183">
        <f t="shared" si="203"/>
        <v>28</v>
      </c>
      <c r="C968" s="107" t="str">
        <f t="shared" si="204"/>
        <v>ATK</v>
      </c>
      <c r="D968" s="2" t="s">
        <v>2693</v>
      </c>
      <c r="E968" s="3">
        <v>44013</v>
      </c>
      <c r="F968" s="3">
        <v>44022</v>
      </c>
      <c r="G968" s="108">
        <f t="shared" si="205"/>
        <v>7</v>
      </c>
      <c r="H968" s="108" t="str">
        <f t="shared" si="206"/>
        <v>완료</v>
      </c>
      <c r="I968" s="112" t="s">
        <v>218</v>
      </c>
      <c r="J968" s="4" t="s">
        <v>2694</v>
      </c>
      <c r="K968" s="5" t="s">
        <v>2694</v>
      </c>
      <c r="L968" s="6" t="str">
        <f t="shared" si="199"/>
        <v>K5</v>
      </c>
      <c r="M968" s="13" t="s">
        <v>234</v>
      </c>
      <c r="N968" s="7" t="s">
        <v>3878</v>
      </c>
      <c r="O968" s="13" t="s">
        <v>2704</v>
      </c>
      <c r="P968" s="115"/>
      <c r="Q968" s="8"/>
      <c r="R968" s="2">
        <v>1</v>
      </c>
      <c r="S968" s="9">
        <v>2000</v>
      </c>
      <c r="T968" s="10">
        <f t="shared" si="192"/>
        <v>1000</v>
      </c>
      <c r="U968" s="9">
        <v>50</v>
      </c>
      <c r="V968" s="10">
        <f t="shared" si="193"/>
        <v>950</v>
      </c>
      <c r="W968" s="4" t="s">
        <v>122</v>
      </c>
      <c r="X968" s="2"/>
      <c r="Y968" s="11">
        <v>4</v>
      </c>
      <c r="Z968" s="12">
        <f t="shared" si="202"/>
        <v>9</v>
      </c>
      <c r="AA968" s="4" t="s">
        <v>2699</v>
      </c>
      <c r="AC968" s="176">
        <f t="shared" si="196"/>
        <v>4.5454545454545456E-2</v>
      </c>
    </row>
    <row r="969" spans="2:29">
      <c r="B969" s="183">
        <f t="shared" si="203"/>
        <v>28</v>
      </c>
      <c r="C969" s="107" t="str">
        <f t="shared" si="204"/>
        <v>ATK</v>
      </c>
      <c r="D969" s="2" t="s">
        <v>2695</v>
      </c>
      <c r="E969" s="3">
        <v>44015</v>
      </c>
      <c r="F969" s="3">
        <v>44021</v>
      </c>
      <c r="G969" s="108">
        <f t="shared" si="205"/>
        <v>7</v>
      </c>
      <c r="H969" s="108" t="str">
        <f t="shared" si="206"/>
        <v>완료</v>
      </c>
      <c r="I969" s="112" t="s">
        <v>218</v>
      </c>
      <c r="J969" s="4" t="s">
        <v>808</v>
      </c>
      <c r="K969" s="5" t="s">
        <v>833</v>
      </c>
      <c r="L969" s="6" t="str">
        <f t="shared" si="199"/>
        <v>1T3</v>
      </c>
      <c r="M969" s="13" t="s">
        <v>256</v>
      </c>
      <c r="N969" s="7" t="s">
        <v>3718</v>
      </c>
      <c r="O969" s="13" t="s">
        <v>478</v>
      </c>
      <c r="P969" s="115" t="s">
        <v>2696</v>
      </c>
      <c r="Q969" s="8"/>
      <c r="R969" s="2">
        <v>1</v>
      </c>
      <c r="S969" s="9">
        <v>1600</v>
      </c>
      <c r="T969" s="10">
        <f t="shared" si="192"/>
        <v>800</v>
      </c>
      <c r="U969" s="9"/>
      <c r="V969" s="10">
        <f t="shared" si="193"/>
        <v>800</v>
      </c>
      <c r="W969" s="4" t="s">
        <v>122</v>
      </c>
      <c r="X969" s="2"/>
      <c r="Y969" s="11">
        <v>2</v>
      </c>
      <c r="Z969" s="12">
        <f t="shared" si="202"/>
        <v>6</v>
      </c>
      <c r="AA969" s="4" t="s">
        <v>2699</v>
      </c>
      <c r="AC969" s="176">
        <f t="shared" si="196"/>
        <v>0</v>
      </c>
    </row>
    <row r="970" spans="2:29">
      <c r="B970" s="183">
        <f t="shared" si="203"/>
        <v>28</v>
      </c>
      <c r="C970" s="107" t="str">
        <f t="shared" si="204"/>
        <v>ATK</v>
      </c>
      <c r="D970" s="2" t="s">
        <v>2700</v>
      </c>
      <c r="E970" s="3">
        <v>44018</v>
      </c>
      <c r="F970" s="3">
        <v>44018</v>
      </c>
      <c r="G970" s="108">
        <f t="shared" si="205"/>
        <v>7</v>
      </c>
      <c r="H970" s="108" t="str">
        <f t="shared" si="206"/>
        <v>Other</v>
      </c>
      <c r="I970" s="112" t="s">
        <v>251</v>
      </c>
      <c r="J970" s="4" t="s">
        <v>121</v>
      </c>
      <c r="K970" s="5" t="s">
        <v>136</v>
      </c>
      <c r="L970" s="6" t="str">
        <f t="shared" si="199"/>
        <v>5T1</v>
      </c>
      <c r="M970" s="13" t="s">
        <v>2702</v>
      </c>
      <c r="N970" s="7" t="s">
        <v>140</v>
      </c>
      <c r="O970" s="13" t="s">
        <v>2703</v>
      </c>
      <c r="P970" s="115" t="s">
        <v>2705</v>
      </c>
      <c r="Q970" s="8"/>
      <c r="R970" s="2">
        <v>1</v>
      </c>
      <c r="S970" s="9">
        <v>0</v>
      </c>
      <c r="T970" s="10">
        <f t="shared" si="192"/>
        <v>0</v>
      </c>
      <c r="U970" s="9">
        <v>0</v>
      </c>
      <c r="V970" s="10">
        <f t="shared" si="193"/>
        <v>0</v>
      </c>
      <c r="W970" s="4" t="s">
        <v>122</v>
      </c>
      <c r="X970" s="2"/>
      <c r="Y970" s="11">
        <v>2</v>
      </c>
      <c r="Z970" s="12">
        <f t="shared" si="202"/>
        <v>0</v>
      </c>
      <c r="AA970" s="4" t="s">
        <v>2699</v>
      </c>
      <c r="AC970" s="176">
        <f t="shared" si="196"/>
        <v>0</v>
      </c>
    </row>
    <row r="971" spans="2:29">
      <c r="B971" s="183">
        <f t="shared" si="203"/>
        <v>28</v>
      </c>
      <c r="C971" s="107" t="str">
        <f t="shared" si="204"/>
        <v>ATK</v>
      </c>
      <c r="D971" s="2" t="s">
        <v>2701</v>
      </c>
      <c r="E971" s="3">
        <v>44018</v>
      </c>
      <c r="F971" s="3">
        <v>44018</v>
      </c>
      <c r="G971" s="108">
        <f t="shared" si="205"/>
        <v>7</v>
      </c>
      <c r="H971" s="108" t="str">
        <f t="shared" si="206"/>
        <v>Other</v>
      </c>
      <c r="I971" s="112" t="s">
        <v>251</v>
      </c>
      <c r="J971" s="4" t="s">
        <v>121</v>
      </c>
      <c r="K971" s="5" t="s">
        <v>136</v>
      </c>
      <c r="L971" s="6" t="str">
        <f t="shared" si="199"/>
        <v>5T1</v>
      </c>
      <c r="M971" s="13" t="s">
        <v>2702</v>
      </c>
      <c r="N971" s="7" t="s">
        <v>140</v>
      </c>
      <c r="O971" s="13" t="s">
        <v>2703</v>
      </c>
      <c r="P971" s="115" t="s">
        <v>2705</v>
      </c>
      <c r="Q971" s="8"/>
      <c r="R971" s="2">
        <v>1</v>
      </c>
      <c r="S971" s="9">
        <v>0</v>
      </c>
      <c r="T971" s="10">
        <f t="shared" si="192"/>
        <v>0</v>
      </c>
      <c r="U971" s="9">
        <v>0</v>
      </c>
      <c r="V971" s="10">
        <f t="shared" si="193"/>
        <v>0</v>
      </c>
      <c r="W971" s="4" t="s">
        <v>122</v>
      </c>
      <c r="X971" s="2"/>
      <c r="Y971" s="11">
        <v>2</v>
      </c>
      <c r="Z971" s="12">
        <f t="shared" si="202"/>
        <v>0</v>
      </c>
      <c r="AA971" s="4" t="s">
        <v>2699</v>
      </c>
      <c r="AC971" s="176">
        <f t="shared" si="196"/>
        <v>0</v>
      </c>
    </row>
    <row r="972" spans="2:29">
      <c r="B972" s="183">
        <f t="shared" si="203"/>
        <v>28</v>
      </c>
      <c r="C972" s="107" t="str">
        <f t="shared" si="204"/>
        <v>ATK</v>
      </c>
      <c r="D972" s="2" t="s">
        <v>2706</v>
      </c>
      <c r="E972" s="3">
        <v>44015</v>
      </c>
      <c r="F972" s="3">
        <v>44018</v>
      </c>
      <c r="G972" s="108">
        <f t="shared" si="205"/>
        <v>7</v>
      </c>
      <c r="H972" s="108" t="str">
        <f t="shared" si="206"/>
        <v>완료</v>
      </c>
      <c r="I972" s="112" t="s">
        <v>2707</v>
      </c>
      <c r="J972" s="4" t="s">
        <v>2708</v>
      </c>
      <c r="K972" s="5" t="s">
        <v>1886</v>
      </c>
      <c r="L972" s="6" t="str">
        <f t="shared" si="199"/>
        <v>2T3</v>
      </c>
      <c r="M972" s="13" t="s">
        <v>2522</v>
      </c>
      <c r="N972" s="7" t="s">
        <v>3631</v>
      </c>
      <c r="O972" s="13" t="s">
        <v>1887</v>
      </c>
      <c r="P972" s="115" t="s">
        <v>2709</v>
      </c>
      <c r="Q972" s="8" t="s">
        <v>2712</v>
      </c>
      <c r="R972" s="2">
        <v>1</v>
      </c>
      <c r="S972" s="9">
        <v>710</v>
      </c>
      <c r="T972" s="10">
        <f t="shared" si="192"/>
        <v>355</v>
      </c>
      <c r="U972" s="9">
        <v>25</v>
      </c>
      <c r="V972" s="10">
        <f t="shared" si="193"/>
        <v>330</v>
      </c>
      <c r="W972" s="4" t="s">
        <v>2710</v>
      </c>
      <c r="X972" s="2"/>
      <c r="Y972" s="11">
        <v>2</v>
      </c>
      <c r="Z972" s="12">
        <f t="shared" si="202"/>
        <v>3</v>
      </c>
      <c r="AA972" s="4" t="s">
        <v>2711</v>
      </c>
      <c r="AC972" s="176">
        <f t="shared" si="196"/>
        <v>2.2727272727272728E-2</v>
      </c>
    </row>
    <row r="973" spans="2:29">
      <c r="B973" s="183">
        <f t="shared" si="203"/>
        <v>28</v>
      </c>
      <c r="C973" s="107" t="str">
        <f t="shared" si="204"/>
        <v>ATK</v>
      </c>
      <c r="D973" s="2" t="s">
        <v>2713</v>
      </c>
      <c r="E973" s="3">
        <v>44018</v>
      </c>
      <c r="F973" s="3">
        <v>44019</v>
      </c>
      <c r="G973" s="108">
        <f t="shared" si="205"/>
        <v>7</v>
      </c>
      <c r="H973" s="108" t="str">
        <f t="shared" si="206"/>
        <v>완료</v>
      </c>
      <c r="I973" s="112" t="s">
        <v>264</v>
      </c>
      <c r="J973" s="4" t="s">
        <v>2714</v>
      </c>
      <c r="K973" s="5" t="s">
        <v>2715</v>
      </c>
      <c r="L973" s="6" t="str">
        <f t="shared" si="199"/>
        <v>EE2</v>
      </c>
      <c r="M973" s="13" t="s">
        <v>256</v>
      </c>
      <c r="N973" s="7" t="s">
        <v>3594</v>
      </c>
      <c r="O973" s="13" t="s">
        <v>482</v>
      </c>
      <c r="P973" s="115" t="s">
        <v>2716</v>
      </c>
      <c r="Q973" s="8"/>
      <c r="R973" s="2">
        <v>1</v>
      </c>
      <c r="S973" s="9">
        <v>1600</v>
      </c>
      <c r="T973" s="10">
        <f t="shared" si="192"/>
        <v>800</v>
      </c>
      <c r="U973" s="9">
        <v>30</v>
      </c>
      <c r="V973" s="10">
        <f t="shared" si="193"/>
        <v>770</v>
      </c>
      <c r="W973" s="4" t="s">
        <v>249</v>
      </c>
      <c r="X973" s="2"/>
      <c r="Y973" s="11">
        <v>2</v>
      </c>
      <c r="Z973" s="12">
        <f t="shared" si="202"/>
        <v>1</v>
      </c>
      <c r="AA973" s="4" t="s">
        <v>27</v>
      </c>
      <c r="AC973" s="176">
        <f t="shared" si="196"/>
        <v>2.7272727272727271E-2</v>
      </c>
    </row>
    <row r="974" spans="2:29">
      <c r="B974" s="183">
        <f t="shared" si="203"/>
        <v>28</v>
      </c>
      <c r="C974" s="107" t="str">
        <f t="shared" si="204"/>
        <v>ATK</v>
      </c>
      <c r="D974" s="2" t="s">
        <v>2713</v>
      </c>
      <c r="E974" s="3">
        <v>44018</v>
      </c>
      <c r="F974" s="3">
        <v>44019</v>
      </c>
      <c r="G974" s="108">
        <f t="shared" si="205"/>
        <v>7</v>
      </c>
      <c r="H974" s="108" t="str">
        <f t="shared" si="206"/>
        <v>완료</v>
      </c>
      <c r="I974" s="112" t="s">
        <v>264</v>
      </c>
      <c r="J974" s="4" t="s">
        <v>2714</v>
      </c>
      <c r="K974" s="5" t="s">
        <v>2715</v>
      </c>
      <c r="L974" s="6" t="str">
        <f t="shared" si="199"/>
        <v>EE2</v>
      </c>
      <c r="M974" s="13" t="s">
        <v>256</v>
      </c>
      <c r="N974" s="7" t="s">
        <v>3529</v>
      </c>
      <c r="O974" s="13" t="s">
        <v>482</v>
      </c>
      <c r="P974" s="115" t="s">
        <v>2716</v>
      </c>
      <c r="Q974" s="8"/>
      <c r="R974" s="2">
        <v>1</v>
      </c>
      <c r="S974" s="9">
        <v>1600</v>
      </c>
      <c r="T974" s="10">
        <f t="shared" si="192"/>
        <v>800</v>
      </c>
      <c r="U974" s="9">
        <v>30</v>
      </c>
      <c r="V974" s="10">
        <f t="shared" si="193"/>
        <v>770</v>
      </c>
      <c r="W974" s="4" t="s">
        <v>249</v>
      </c>
      <c r="X974" s="2"/>
      <c r="Y974" s="11">
        <v>2</v>
      </c>
      <c r="Z974" s="12">
        <f t="shared" si="202"/>
        <v>1</v>
      </c>
      <c r="AA974" s="4" t="s">
        <v>27</v>
      </c>
      <c r="AC974" s="176">
        <f t="shared" si="196"/>
        <v>2.7272727272727271E-2</v>
      </c>
    </row>
    <row r="975" spans="2:29">
      <c r="B975" s="183">
        <f t="shared" si="203"/>
        <v>28</v>
      </c>
      <c r="C975" s="107" t="str">
        <f t="shared" si="204"/>
        <v>ATK</v>
      </c>
      <c r="D975" s="2" t="s">
        <v>2717</v>
      </c>
      <c r="E975" s="3">
        <v>44019</v>
      </c>
      <c r="F975" s="3">
        <v>44019</v>
      </c>
      <c r="G975" s="108">
        <f t="shared" si="205"/>
        <v>7</v>
      </c>
      <c r="H975" s="108" t="str">
        <f t="shared" si="206"/>
        <v>완료</v>
      </c>
      <c r="I975" s="112" t="s">
        <v>218</v>
      </c>
      <c r="J975" s="4" t="s">
        <v>139</v>
      </c>
      <c r="K975" s="5" t="s">
        <v>851</v>
      </c>
      <c r="L975" s="6" t="str">
        <f t="shared" si="199"/>
        <v>6T1</v>
      </c>
      <c r="M975" s="13" t="s">
        <v>2718</v>
      </c>
      <c r="N975" s="7" t="s">
        <v>3879</v>
      </c>
      <c r="O975" s="13" t="s">
        <v>2719</v>
      </c>
      <c r="P975" s="115" t="s">
        <v>2720</v>
      </c>
      <c r="Q975" s="8"/>
      <c r="R975" s="2">
        <v>1</v>
      </c>
      <c r="S975" s="9">
        <v>1000</v>
      </c>
      <c r="T975" s="10">
        <f t="shared" si="192"/>
        <v>500</v>
      </c>
      <c r="U975" s="9"/>
      <c r="V975" s="10">
        <f t="shared" si="193"/>
        <v>500</v>
      </c>
      <c r="W975" s="4" t="s">
        <v>122</v>
      </c>
      <c r="X975" s="2"/>
      <c r="Y975" s="11">
        <v>4</v>
      </c>
      <c r="Z975" s="12">
        <f t="shared" si="202"/>
        <v>0</v>
      </c>
      <c r="AA975" s="4" t="s">
        <v>212</v>
      </c>
      <c r="AC975" s="176">
        <f t="shared" si="196"/>
        <v>0</v>
      </c>
    </row>
    <row r="976" spans="2:29">
      <c r="B976" s="183">
        <f t="shared" si="203"/>
        <v>28</v>
      </c>
      <c r="C976" s="107" t="str">
        <f t="shared" si="204"/>
        <v>ATK</v>
      </c>
      <c r="D976" s="2" t="s">
        <v>2721</v>
      </c>
      <c r="E976" s="3">
        <v>44019</v>
      </c>
      <c r="F976" s="3">
        <v>44020</v>
      </c>
      <c r="G976" s="108">
        <f t="shared" si="205"/>
        <v>7</v>
      </c>
      <c r="H976" s="108" t="str">
        <f t="shared" si="206"/>
        <v>완료</v>
      </c>
      <c r="I976" s="112" t="s">
        <v>218</v>
      </c>
      <c r="J976" s="4" t="s">
        <v>132</v>
      </c>
      <c r="K976" s="5" t="s">
        <v>322</v>
      </c>
      <c r="L976" s="6" t="str">
        <f t="shared" si="199"/>
        <v>3T1</v>
      </c>
      <c r="M976" s="13" t="s">
        <v>2722</v>
      </c>
      <c r="N976" s="7" t="s">
        <v>3880</v>
      </c>
      <c r="O976" s="7" t="s">
        <v>2723</v>
      </c>
      <c r="P976" s="115" t="s">
        <v>2759</v>
      </c>
      <c r="Q976" s="8"/>
      <c r="R976" s="2">
        <v>1</v>
      </c>
      <c r="S976" s="9">
        <v>500</v>
      </c>
      <c r="T976" s="10">
        <f t="shared" si="192"/>
        <v>250</v>
      </c>
      <c r="U976" s="9"/>
      <c r="V976" s="10">
        <f t="shared" si="193"/>
        <v>250</v>
      </c>
      <c r="W976" s="4" t="s">
        <v>122</v>
      </c>
      <c r="X976" s="2"/>
      <c r="Y976" s="11">
        <v>5</v>
      </c>
      <c r="Z976" s="12">
        <f t="shared" si="202"/>
        <v>1</v>
      </c>
      <c r="AA976" s="4" t="s">
        <v>212</v>
      </c>
      <c r="AC976" s="176">
        <f t="shared" si="196"/>
        <v>0</v>
      </c>
    </row>
    <row r="977" spans="2:29">
      <c r="B977" s="183">
        <f t="shared" si="203"/>
        <v>28</v>
      </c>
      <c r="C977" s="107" t="str">
        <f t="shared" si="204"/>
        <v>ATK</v>
      </c>
      <c r="D977" s="2" t="s">
        <v>837</v>
      </c>
      <c r="E977" s="3">
        <v>44018</v>
      </c>
      <c r="F977" s="3">
        <v>44019</v>
      </c>
      <c r="G977" s="108">
        <f t="shared" si="205"/>
        <v>7</v>
      </c>
      <c r="H977" s="108" t="str">
        <f t="shared" si="206"/>
        <v>완료</v>
      </c>
      <c r="I977" s="112" t="s">
        <v>2727</v>
      </c>
      <c r="J977" s="4" t="s">
        <v>281</v>
      </c>
      <c r="K977" s="5" t="s">
        <v>332</v>
      </c>
      <c r="L977" s="6" t="str">
        <f t="shared" si="199"/>
        <v>EE2</v>
      </c>
      <c r="M977" s="13" t="s">
        <v>256</v>
      </c>
      <c r="N977" s="7" t="s">
        <v>3718</v>
      </c>
      <c r="O977" s="13" t="s">
        <v>1077</v>
      </c>
      <c r="P977" s="115" t="s">
        <v>2728</v>
      </c>
      <c r="Q977" s="8"/>
      <c r="R977" s="2">
        <v>1</v>
      </c>
      <c r="S977" s="9">
        <v>2500</v>
      </c>
      <c r="T977" s="10">
        <f t="shared" si="192"/>
        <v>1250</v>
      </c>
      <c r="U977" s="9">
        <v>25</v>
      </c>
      <c r="V977" s="10">
        <f t="shared" si="193"/>
        <v>1225</v>
      </c>
      <c r="W977" s="4" t="s">
        <v>249</v>
      </c>
      <c r="X977" s="2"/>
      <c r="Y977" s="11">
        <v>5</v>
      </c>
      <c r="Z977" s="12">
        <f t="shared" si="202"/>
        <v>1</v>
      </c>
      <c r="AA977" s="4" t="s">
        <v>174</v>
      </c>
      <c r="AC977" s="176">
        <f t="shared" si="196"/>
        <v>2.2727272727272728E-2</v>
      </c>
    </row>
    <row r="978" spans="2:29">
      <c r="B978" s="183">
        <f t="shared" si="203"/>
        <v>28</v>
      </c>
      <c r="C978" s="107" t="str">
        <f t="shared" si="204"/>
        <v>ATK</v>
      </c>
      <c r="D978" s="2" t="s">
        <v>2724</v>
      </c>
      <c r="E978" s="3">
        <v>44015</v>
      </c>
      <c r="F978" s="3">
        <v>44019</v>
      </c>
      <c r="G978" s="108">
        <f t="shared" si="205"/>
        <v>7</v>
      </c>
      <c r="H978" s="108" t="str">
        <f t="shared" si="206"/>
        <v>완료</v>
      </c>
      <c r="I978" s="112" t="s">
        <v>218</v>
      </c>
      <c r="J978" s="4" t="s">
        <v>132</v>
      </c>
      <c r="K978" s="5" t="s">
        <v>322</v>
      </c>
      <c r="L978" s="6" t="str">
        <f t="shared" si="199"/>
        <v>3T1</v>
      </c>
      <c r="M978" s="13" t="s">
        <v>2725</v>
      </c>
      <c r="N978" s="7" t="s">
        <v>3881</v>
      </c>
      <c r="O978" s="13" t="s">
        <v>1002</v>
      </c>
      <c r="P978" s="115" t="s">
        <v>2726</v>
      </c>
      <c r="Q978" s="8" t="s">
        <v>2772</v>
      </c>
      <c r="R978" s="2">
        <v>1</v>
      </c>
      <c r="S978" s="9">
        <v>700</v>
      </c>
      <c r="T978" s="10">
        <f t="shared" si="192"/>
        <v>350</v>
      </c>
      <c r="U978" s="9">
        <v>1</v>
      </c>
      <c r="V978" s="10">
        <f t="shared" si="193"/>
        <v>349</v>
      </c>
      <c r="W978" s="4" t="s">
        <v>122</v>
      </c>
      <c r="X978" s="2"/>
      <c r="Y978" s="11">
        <v>16</v>
      </c>
      <c r="Z978" s="12">
        <f t="shared" si="202"/>
        <v>4</v>
      </c>
      <c r="AA978" s="4" t="s">
        <v>120</v>
      </c>
      <c r="AC978" s="176">
        <f t="shared" si="196"/>
        <v>9.0909090909090909E-4</v>
      </c>
    </row>
    <row r="979" spans="2:29">
      <c r="B979" s="183">
        <f t="shared" si="203"/>
        <v>31</v>
      </c>
      <c r="C979" s="107" t="str">
        <f t="shared" si="204"/>
        <v>ATK</v>
      </c>
      <c r="D979" s="2" t="s">
        <v>2724</v>
      </c>
      <c r="E979" s="3">
        <v>44018</v>
      </c>
      <c r="F979" s="3">
        <v>44043</v>
      </c>
      <c r="G979" s="108">
        <f t="shared" si="205"/>
        <v>7</v>
      </c>
      <c r="H979" s="108" t="str">
        <f t="shared" si="206"/>
        <v>완료</v>
      </c>
      <c r="I979" s="112" t="s">
        <v>218</v>
      </c>
      <c r="J979" s="4" t="s">
        <v>132</v>
      </c>
      <c r="K979" s="5" t="s">
        <v>322</v>
      </c>
      <c r="L979" s="6" t="str">
        <f t="shared" si="199"/>
        <v>3T1</v>
      </c>
      <c r="M979" s="13" t="s">
        <v>2725</v>
      </c>
      <c r="N979" s="7" t="s">
        <v>3881</v>
      </c>
      <c r="O979" s="13" t="s">
        <v>1002</v>
      </c>
      <c r="P979" s="115" t="s">
        <v>3191</v>
      </c>
      <c r="Q979" s="8" t="s">
        <v>2773</v>
      </c>
      <c r="R979" s="2">
        <v>1</v>
      </c>
      <c r="S979" s="9">
        <v>700</v>
      </c>
      <c r="T979" s="10">
        <f t="shared" si="192"/>
        <v>350</v>
      </c>
      <c r="U979" s="9"/>
      <c r="V979" s="10">
        <f t="shared" si="193"/>
        <v>350</v>
      </c>
      <c r="W979" s="4" t="s">
        <v>122</v>
      </c>
      <c r="X979" s="2"/>
      <c r="Y979" s="11"/>
      <c r="Z979" s="12">
        <f t="shared" si="202"/>
        <v>25</v>
      </c>
      <c r="AA979" s="4" t="s">
        <v>120</v>
      </c>
      <c r="AC979" s="176">
        <f t="shared" si="196"/>
        <v>0</v>
      </c>
    </row>
    <row r="980" spans="2:29">
      <c r="B980" s="183">
        <f t="shared" si="203"/>
        <v>28</v>
      </c>
      <c r="C980" s="107" t="str">
        <f t="shared" si="204"/>
        <v>ATK</v>
      </c>
      <c r="D980" s="2" t="s">
        <v>2729</v>
      </c>
      <c r="E980" s="3">
        <v>44019</v>
      </c>
      <c r="F980" s="3">
        <v>44019</v>
      </c>
      <c r="G980" s="108">
        <f t="shared" si="205"/>
        <v>7</v>
      </c>
      <c r="H980" s="108" t="str">
        <f t="shared" si="206"/>
        <v>완료</v>
      </c>
      <c r="I980" s="112" t="s">
        <v>218</v>
      </c>
      <c r="J980" s="4" t="s">
        <v>115</v>
      </c>
      <c r="K980" s="5" t="s">
        <v>138</v>
      </c>
      <c r="L980" s="6" t="str">
        <f t="shared" si="199"/>
        <v>EE1</v>
      </c>
      <c r="M980" s="13" t="s">
        <v>2730</v>
      </c>
      <c r="N980" s="7"/>
      <c r="O980" s="13" t="s">
        <v>2731</v>
      </c>
      <c r="P980" s="115"/>
      <c r="Q980" s="8"/>
      <c r="R980" s="2">
        <v>1</v>
      </c>
      <c r="S980" s="9">
        <v>300</v>
      </c>
      <c r="T980" s="10">
        <f t="shared" si="192"/>
        <v>150</v>
      </c>
      <c r="U980" s="9">
        <v>0</v>
      </c>
      <c r="V980" s="10">
        <f t="shared" si="193"/>
        <v>150</v>
      </c>
      <c r="W980" s="4" t="s">
        <v>122</v>
      </c>
      <c r="X980" s="2"/>
      <c r="Y980" s="11">
        <v>3</v>
      </c>
      <c r="Z980" s="12">
        <f t="shared" si="202"/>
        <v>0</v>
      </c>
      <c r="AA980" s="4" t="s">
        <v>117</v>
      </c>
      <c r="AC980" s="176">
        <f t="shared" si="196"/>
        <v>0</v>
      </c>
    </row>
    <row r="981" spans="2:29">
      <c r="B981" s="183">
        <f t="shared" si="203"/>
        <v>28</v>
      </c>
      <c r="C981" s="107" t="str">
        <f t="shared" si="204"/>
        <v>ATK</v>
      </c>
      <c r="D981" s="2" t="s">
        <v>2732</v>
      </c>
      <c r="E981" s="3">
        <v>44018</v>
      </c>
      <c r="F981" s="3">
        <v>44019</v>
      </c>
      <c r="G981" s="108">
        <f t="shared" si="205"/>
        <v>7</v>
      </c>
      <c r="H981" s="108" t="str">
        <f t="shared" si="206"/>
        <v>완료</v>
      </c>
      <c r="I981" s="112" t="s">
        <v>218</v>
      </c>
      <c r="J981" s="4" t="s">
        <v>808</v>
      </c>
      <c r="K981" s="5" t="s">
        <v>833</v>
      </c>
      <c r="L981" s="6" t="str">
        <f t="shared" si="199"/>
        <v>1T3</v>
      </c>
      <c r="M981" s="13" t="s">
        <v>256</v>
      </c>
      <c r="N981" s="7" t="s">
        <v>3521</v>
      </c>
      <c r="O981" s="13" t="s">
        <v>482</v>
      </c>
      <c r="P981" s="115" t="s">
        <v>2733</v>
      </c>
      <c r="Q981" s="8"/>
      <c r="R981" s="2">
        <v>1</v>
      </c>
      <c r="S981" s="9">
        <v>1600</v>
      </c>
      <c r="T981" s="10">
        <f t="shared" si="192"/>
        <v>800</v>
      </c>
      <c r="U981" s="9">
        <v>50</v>
      </c>
      <c r="V981" s="10">
        <f t="shared" si="193"/>
        <v>750</v>
      </c>
      <c r="W981" s="4" t="s">
        <v>122</v>
      </c>
      <c r="X981" s="2"/>
      <c r="Y981" s="11">
        <v>2</v>
      </c>
      <c r="Z981" s="12">
        <f t="shared" si="202"/>
        <v>1</v>
      </c>
      <c r="AA981" s="4" t="s">
        <v>2734</v>
      </c>
      <c r="AC981" s="176">
        <f t="shared" si="196"/>
        <v>4.5454545454545456E-2</v>
      </c>
    </row>
    <row r="982" spans="2:29">
      <c r="B982" s="183">
        <f t="shared" si="203"/>
        <v>28</v>
      </c>
      <c r="C982" s="107" t="str">
        <f t="shared" si="204"/>
        <v>ATK</v>
      </c>
      <c r="D982" s="2" t="s">
        <v>2735</v>
      </c>
      <c r="E982" s="3">
        <v>44019</v>
      </c>
      <c r="F982" s="3">
        <v>44019</v>
      </c>
      <c r="G982" s="108">
        <f t="shared" si="205"/>
        <v>7</v>
      </c>
      <c r="H982" s="108" t="str">
        <f t="shared" si="206"/>
        <v>완료</v>
      </c>
      <c r="I982" s="112" t="s">
        <v>218</v>
      </c>
      <c r="J982" s="4" t="s">
        <v>121</v>
      </c>
      <c r="K982" s="5" t="s">
        <v>229</v>
      </c>
      <c r="L982" s="6" t="str">
        <f t="shared" si="199"/>
        <v>5T2</v>
      </c>
      <c r="M982" s="13"/>
      <c r="N982" s="7" t="s">
        <v>3512</v>
      </c>
      <c r="O982" s="13" t="s">
        <v>284</v>
      </c>
      <c r="P982" s="115"/>
      <c r="Q982" s="8"/>
      <c r="R982" s="2">
        <v>2</v>
      </c>
      <c r="S982" s="9">
        <v>1200</v>
      </c>
      <c r="T982" s="10">
        <f t="shared" si="192"/>
        <v>1200</v>
      </c>
      <c r="U982" s="9"/>
      <c r="V982" s="10">
        <f t="shared" si="193"/>
        <v>1200</v>
      </c>
      <c r="W982" s="4" t="s">
        <v>122</v>
      </c>
      <c r="X982" s="2"/>
      <c r="Y982" s="11">
        <v>5</v>
      </c>
      <c r="Z982" s="12">
        <f t="shared" si="202"/>
        <v>0</v>
      </c>
      <c r="AA982" s="4" t="s">
        <v>259</v>
      </c>
      <c r="AC982" s="176">
        <f t="shared" si="196"/>
        <v>0</v>
      </c>
    </row>
    <row r="983" spans="2:29">
      <c r="B983" s="183">
        <f t="shared" si="203"/>
        <v>28</v>
      </c>
      <c r="C983" s="107" t="str">
        <f t="shared" si="204"/>
        <v>ATK</v>
      </c>
      <c r="D983" s="2" t="s">
        <v>2736</v>
      </c>
      <c r="E983" s="3">
        <v>44019</v>
      </c>
      <c r="F983" s="3">
        <v>44020</v>
      </c>
      <c r="G983" s="108">
        <f t="shared" si="205"/>
        <v>7</v>
      </c>
      <c r="H983" s="108" t="str">
        <f t="shared" si="206"/>
        <v>완료</v>
      </c>
      <c r="I983" s="112" t="s">
        <v>218</v>
      </c>
      <c r="J983" s="4" t="s">
        <v>2737</v>
      </c>
      <c r="K983" s="5" t="s">
        <v>2738</v>
      </c>
      <c r="L983" s="6" t="str">
        <f t="shared" si="199"/>
        <v>EE2</v>
      </c>
      <c r="M983" s="13" t="s">
        <v>256</v>
      </c>
      <c r="N983" s="7" t="s">
        <v>3877</v>
      </c>
      <c r="O983" s="13" t="s">
        <v>478</v>
      </c>
      <c r="P983" s="115" t="s">
        <v>1421</v>
      </c>
      <c r="Q983" s="8"/>
      <c r="R983" s="2">
        <v>1</v>
      </c>
      <c r="S983" s="9">
        <v>1600</v>
      </c>
      <c r="T983" s="10">
        <f t="shared" si="192"/>
        <v>800</v>
      </c>
      <c r="U983" s="9">
        <v>50</v>
      </c>
      <c r="V983" s="10">
        <f t="shared" si="193"/>
        <v>750</v>
      </c>
      <c r="W983" s="4" t="s">
        <v>122</v>
      </c>
      <c r="X983" s="2"/>
      <c r="Y983" s="11">
        <v>4</v>
      </c>
      <c r="Z983" s="12">
        <f t="shared" si="202"/>
        <v>1</v>
      </c>
      <c r="AA983" s="4" t="s">
        <v>2739</v>
      </c>
      <c r="AC983" s="176">
        <f t="shared" si="196"/>
        <v>4.5454545454545456E-2</v>
      </c>
    </row>
    <row r="984" spans="2:29">
      <c r="B984" s="183">
        <f t="shared" si="203"/>
        <v>28</v>
      </c>
      <c r="C984" s="107" t="str">
        <f t="shared" si="204"/>
        <v>ATK</v>
      </c>
      <c r="D984" s="2" t="s">
        <v>2740</v>
      </c>
      <c r="E984" s="3">
        <v>44020</v>
      </c>
      <c r="F984" s="3">
        <v>44020</v>
      </c>
      <c r="G984" s="108">
        <f t="shared" si="205"/>
        <v>7</v>
      </c>
      <c r="H984" s="108" t="str">
        <f t="shared" si="206"/>
        <v>완료</v>
      </c>
      <c r="I984" s="112" t="s">
        <v>218</v>
      </c>
      <c r="J984" s="4" t="s">
        <v>499</v>
      </c>
      <c r="K984" s="5" t="s">
        <v>499</v>
      </c>
      <c r="L984" s="6" t="str">
        <f t="shared" si="199"/>
        <v>QA</v>
      </c>
      <c r="M984" s="13" t="s">
        <v>2741</v>
      </c>
      <c r="N984" s="7" t="s">
        <v>3882</v>
      </c>
      <c r="O984" s="13" t="s">
        <v>2742</v>
      </c>
      <c r="P984" s="115" t="s">
        <v>2743</v>
      </c>
      <c r="Q984" s="8"/>
      <c r="R984" s="2">
        <v>1</v>
      </c>
      <c r="S984" s="9">
        <v>560</v>
      </c>
      <c r="T984" s="10">
        <f t="shared" si="192"/>
        <v>280</v>
      </c>
      <c r="U984" s="9">
        <v>0</v>
      </c>
      <c r="V984" s="10">
        <f t="shared" si="193"/>
        <v>280</v>
      </c>
      <c r="W984" s="4" t="s">
        <v>122</v>
      </c>
      <c r="X984" s="2"/>
      <c r="Y984" s="11">
        <v>2</v>
      </c>
      <c r="Z984" s="12">
        <f t="shared" si="202"/>
        <v>0</v>
      </c>
      <c r="AA984" s="4" t="s">
        <v>120</v>
      </c>
      <c r="AC984" s="176">
        <f t="shared" si="196"/>
        <v>0</v>
      </c>
    </row>
    <row r="985" spans="2:29">
      <c r="B985" s="183">
        <f t="shared" si="203"/>
        <v>28</v>
      </c>
      <c r="C985" s="107" t="str">
        <f t="shared" si="204"/>
        <v>ATK</v>
      </c>
      <c r="D985" s="2" t="s">
        <v>1760</v>
      </c>
      <c r="E985" s="3">
        <v>44019</v>
      </c>
      <c r="F985" s="3">
        <v>44020</v>
      </c>
      <c r="G985" s="108">
        <f t="shared" si="205"/>
        <v>7</v>
      </c>
      <c r="H985" s="108" t="str">
        <f t="shared" si="206"/>
        <v>완료</v>
      </c>
      <c r="I985" s="112" t="s">
        <v>218</v>
      </c>
      <c r="J985" s="4" t="s">
        <v>1761</v>
      </c>
      <c r="K985" s="5" t="s">
        <v>1762</v>
      </c>
      <c r="L985" s="6" t="str">
        <f t="shared" si="199"/>
        <v>1T1</v>
      </c>
      <c r="M985" s="13" t="s">
        <v>1763</v>
      </c>
      <c r="N985" s="7" t="s">
        <v>140</v>
      </c>
      <c r="O985" s="13" t="s">
        <v>1657</v>
      </c>
      <c r="P985" s="115" t="s">
        <v>2744</v>
      </c>
      <c r="Q985" s="8"/>
      <c r="R985" s="2">
        <v>1</v>
      </c>
      <c r="S985" s="9">
        <v>1000</v>
      </c>
      <c r="T985" s="10">
        <f t="shared" si="192"/>
        <v>500</v>
      </c>
      <c r="U985" s="9">
        <v>1</v>
      </c>
      <c r="V985" s="10">
        <f t="shared" si="193"/>
        <v>499</v>
      </c>
      <c r="W985" s="4" t="s">
        <v>122</v>
      </c>
      <c r="X985" s="2"/>
      <c r="Y985" s="11">
        <v>2</v>
      </c>
      <c r="Z985" s="12">
        <f t="shared" si="202"/>
        <v>1</v>
      </c>
      <c r="AA985" s="4" t="s">
        <v>1753</v>
      </c>
      <c r="AC985" s="176">
        <f t="shared" si="196"/>
        <v>9.0909090909090909E-4</v>
      </c>
    </row>
    <row r="986" spans="2:29">
      <c r="B986" s="183">
        <f t="shared" si="203"/>
        <v>31</v>
      </c>
      <c r="C986" s="107" t="str">
        <f t="shared" si="204"/>
        <v>ATK</v>
      </c>
      <c r="D986" s="2" t="s">
        <v>2745</v>
      </c>
      <c r="E986" s="3">
        <v>44014</v>
      </c>
      <c r="F986" s="3">
        <v>44042</v>
      </c>
      <c r="G986" s="108">
        <f t="shared" si="205"/>
        <v>7</v>
      </c>
      <c r="H986" s="108" t="str">
        <f t="shared" si="206"/>
        <v>완료</v>
      </c>
      <c r="I986" s="112" t="s">
        <v>3170</v>
      </c>
      <c r="J986" s="4" t="s">
        <v>2746</v>
      </c>
      <c r="K986" s="5" t="s">
        <v>2746</v>
      </c>
      <c r="L986" s="6" t="str">
        <f t="shared" si="199"/>
        <v>Oth</v>
      </c>
      <c r="M986" s="13" t="s">
        <v>2753</v>
      </c>
      <c r="N986" s="7" t="s">
        <v>3883</v>
      </c>
      <c r="O986" s="13" t="s">
        <v>2747</v>
      </c>
      <c r="P986" s="115" t="s">
        <v>2748</v>
      </c>
      <c r="Q986" s="8"/>
      <c r="R986" s="2">
        <v>1</v>
      </c>
      <c r="S986" s="9">
        <v>4300</v>
      </c>
      <c r="T986" s="10">
        <f t="shared" si="192"/>
        <v>2150</v>
      </c>
      <c r="U986" s="9">
        <v>1700</v>
      </c>
      <c r="V986" s="10">
        <f t="shared" si="193"/>
        <v>450</v>
      </c>
      <c r="W986" s="4" t="s">
        <v>2749</v>
      </c>
      <c r="X986" s="2" t="s">
        <v>2750</v>
      </c>
      <c r="Y986" s="11">
        <v>2</v>
      </c>
      <c r="Z986" s="12">
        <f t="shared" si="202"/>
        <v>28</v>
      </c>
      <c r="AA986" s="4" t="s">
        <v>2751</v>
      </c>
      <c r="AC986" s="176">
        <f t="shared" si="196"/>
        <v>1.5454545454545454</v>
      </c>
    </row>
    <row r="987" spans="2:29">
      <c r="B987" s="183">
        <f t="shared" si="203"/>
        <v>28</v>
      </c>
      <c r="C987" s="107" t="str">
        <f t="shared" si="204"/>
        <v>ATK</v>
      </c>
      <c r="D987" s="2" t="s">
        <v>845</v>
      </c>
      <c r="E987" s="3">
        <v>44020</v>
      </c>
      <c r="F987" s="3">
        <v>44020</v>
      </c>
      <c r="G987" s="108">
        <f t="shared" si="205"/>
        <v>7</v>
      </c>
      <c r="H987" s="108" t="str">
        <f t="shared" si="206"/>
        <v>완료</v>
      </c>
      <c r="I987" s="112" t="s">
        <v>218</v>
      </c>
      <c r="J987" s="4" t="s">
        <v>132</v>
      </c>
      <c r="K987" s="5" t="s">
        <v>133</v>
      </c>
      <c r="L987" s="6" t="str">
        <f t="shared" si="199"/>
        <v>3T3</v>
      </c>
      <c r="M987" s="13" t="s">
        <v>454</v>
      </c>
      <c r="N987" s="7" t="s">
        <v>3861</v>
      </c>
      <c r="O987" s="13" t="s">
        <v>286</v>
      </c>
      <c r="P987" s="115"/>
      <c r="Q987" s="8"/>
      <c r="R987" s="2">
        <v>1</v>
      </c>
      <c r="S987" s="9">
        <v>400</v>
      </c>
      <c r="T987" s="10">
        <f t="shared" si="192"/>
        <v>200</v>
      </c>
      <c r="U987" s="9">
        <v>2</v>
      </c>
      <c r="V987" s="10">
        <f t="shared" si="193"/>
        <v>198</v>
      </c>
      <c r="W987" s="4" t="s">
        <v>122</v>
      </c>
      <c r="X987" s="2"/>
      <c r="Y987" s="11">
        <v>1</v>
      </c>
      <c r="Z987" s="12">
        <f t="shared" si="202"/>
        <v>0</v>
      </c>
      <c r="AA987" s="4" t="s">
        <v>117</v>
      </c>
      <c r="AC987" s="176">
        <f t="shared" si="196"/>
        <v>1.8181818181818182E-3</v>
      </c>
    </row>
    <row r="988" spans="2:29">
      <c r="B988" s="183">
        <f t="shared" si="203"/>
        <v>32</v>
      </c>
      <c r="C988" s="107" t="str">
        <f t="shared" si="204"/>
        <v>ATK</v>
      </c>
      <c r="D988" s="2" t="s">
        <v>2752</v>
      </c>
      <c r="E988" s="3">
        <v>44020</v>
      </c>
      <c r="F988" s="3">
        <v>44048</v>
      </c>
      <c r="G988" s="108">
        <f t="shared" si="205"/>
        <v>8</v>
      </c>
      <c r="H988" s="108" t="str">
        <f t="shared" si="206"/>
        <v>완료</v>
      </c>
      <c r="I988" s="112" t="s">
        <v>218</v>
      </c>
      <c r="J988" s="4" t="s">
        <v>251</v>
      </c>
      <c r="K988" s="5" t="s">
        <v>251</v>
      </c>
      <c r="L988" s="6" t="str">
        <f t="shared" si="199"/>
        <v>Oth</v>
      </c>
      <c r="M988" s="13" t="s">
        <v>2754</v>
      </c>
      <c r="N988" s="7"/>
      <c r="O988" s="13" t="s">
        <v>2755</v>
      </c>
      <c r="P988" s="115" t="s">
        <v>2756</v>
      </c>
      <c r="Q988" s="8"/>
      <c r="R988" s="2">
        <v>1</v>
      </c>
      <c r="S988" s="9">
        <v>1700</v>
      </c>
      <c r="T988" s="10">
        <f t="shared" si="192"/>
        <v>850</v>
      </c>
      <c r="U988" s="9">
        <v>270</v>
      </c>
      <c r="V988" s="10">
        <f t="shared" si="193"/>
        <v>580</v>
      </c>
      <c r="W988" s="4" t="s">
        <v>122</v>
      </c>
      <c r="X988" s="2"/>
      <c r="Y988" s="11">
        <v>1</v>
      </c>
      <c r="Z988" s="12">
        <f t="shared" si="202"/>
        <v>28</v>
      </c>
      <c r="AA988" s="4" t="s">
        <v>117</v>
      </c>
      <c r="AC988" s="176">
        <f t="shared" si="196"/>
        <v>0.24545454545454545</v>
      </c>
    </row>
    <row r="989" spans="2:29">
      <c r="B989" s="183">
        <f t="shared" si="203"/>
        <v>29</v>
      </c>
      <c r="C989" s="107" t="str">
        <f t="shared" si="204"/>
        <v>ATK</v>
      </c>
      <c r="D989" s="2" t="s">
        <v>2752</v>
      </c>
      <c r="E989" s="3">
        <v>44020</v>
      </c>
      <c r="F989" s="3">
        <v>44025</v>
      </c>
      <c r="G989" s="108">
        <f t="shared" si="205"/>
        <v>7</v>
      </c>
      <c r="H989" s="108" t="str">
        <f t="shared" si="206"/>
        <v>수리불가</v>
      </c>
      <c r="I989" s="112" t="s">
        <v>601</v>
      </c>
      <c r="J989" s="4" t="s">
        <v>251</v>
      </c>
      <c r="K989" s="5" t="s">
        <v>251</v>
      </c>
      <c r="L989" s="6" t="str">
        <f t="shared" si="199"/>
        <v>Oth</v>
      </c>
      <c r="M989" s="13" t="s">
        <v>2754</v>
      </c>
      <c r="N989" s="7" t="s">
        <v>3883</v>
      </c>
      <c r="O989" s="13" t="s">
        <v>2757</v>
      </c>
      <c r="P989" s="115" t="s">
        <v>2758</v>
      </c>
      <c r="Q989" s="8"/>
      <c r="R989" s="2">
        <v>1</v>
      </c>
      <c r="S989" s="9">
        <v>3200</v>
      </c>
      <c r="T989" s="10">
        <f t="shared" si="192"/>
        <v>1600</v>
      </c>
      <c r="U989" s="9">
        <v>0</v>
      </c>
      <c r="V989" s="10">
        <f t="shared" si="193"/>
        <v>1600</v>
      </c>
      <c r="W989" s="4" t="s">
        <v>122</v>
      </c>
      <c r="X989" s="2"/>
      <c r="Y989" s="11">
        <v>7</v>
      </c>
      <c r="Z989" s="12">
        <f t="shared" si="202"/>
        <v>5</v>
      </c>
      <c r="AA989" s="4" t="s">
        <v>117</v>
      </c>
      <c r="AC989" s="176">
        <f t="shared" si="196"/>
        <v>0</v>
      </c>
    </row>
    <row r="990" spans="2:29">
      <c r="B990" s="183">
        <f t="shared" si="203"/>
        <v>28</v>
      </c>
      <c r="C990" s="107" t="str">
        <f t="shared" si="204"/>
        <v>ATK</v>
      </c>
      <c r="D990" s="2" t="s">
        <v>2760</v>
      </c>
      <c r="E990" s="3">
        <v>44020</v>
      </c>
      <c r="F990" s="3">
        <v>44020</v>
      </c>
      <c r="G990" s="108">
        <f t="shared" si="205"/>
        <v>7</v>
      </c>
      <c r="H990" s="108" t="str">
        <f t="shared" si="206"/>
        <v>완료</v>
      </c>
      <c r="I990" s="112" t="s">
        <v>218</v>
      </c>
      <c r="J990" s="4" t="s">
        <v>2761</v>
      </c>
      <c r="K990" s="5" t="s">
        <v>2762</v>
      </c>
      <c r="L990" s="6" t="str">
        <f t="shared" si="199"/>
        <v>EE2</v>
      </c>
      <c r="M990" s="13" t="s">
        <v>256</v>
      </c>
      <c r="N990" s="7" t="s">
        <v>3594</v>
      </c>
      <c r="O990" s="13" t="s">
        <v>2763</v>
      </c>
      <c r="P990" s="115" t="s">
        <v>1617</v>
      </c>
      <c r="Q990" s="8"/>
      <c r="R990" s="2">
        <v>1</v>
      </c>
      <c r="S990" s="9">
        <v>500</v>
      </c>
      <c r="T990" s="10">
        <f t="shared" si="192"/>
        <v>250</v>
      </c>
      <c r="U990" s="9">
        <v>50</v>
      </c>
      <c r="V990" s="10">
        <f t="shared" si="193"/>
        <v>200</v>
      </c>
      <c r="W990" s="4" t="s">
        <v>122</v>
      </c>
      <c r="X990" s="2"/>
      <c r="Y990" s="11">
        <v>1</v>
      </c>
      <c r="Z990" s="12">
        <f t="shared" si="202"/>
        <v>0</v>
      </c>
      <c r="AA990" s="4" t="s">
        <v>2764</v>
      </c>
      <c r="AC990" s="176">
        <f t="shared" si="196"/>
        <v>4.5454545454545456E-2</v>
      </c>
    </row>
    <row r="991" spans="2:29">
      <c r="B991" s="183">
        <f t="shared" si="203"/>
        <v>28</v>
      </c>
      <c r="C991" s="107" t="str">
        <f t="shared" si="204"/>
        <v>ATK</v>
      </c>
      <c r="D991" s="2" t="s">
        <v>2760</v>
      </c>
      <c r="E991" s="3">
        <v>44020</v>
      </c>
      <c r="F991" s="3">
        <v>44020</v>
      </c>
      <c r="G991" s="108">
        <f t="shared" si="205"/>
        <v>7</v>
      </c>
      <c r="H991" s="108" t="str">
        <f t="shared" si="206"/>
        <v>완료</v>
      </c>
      <c r="I991" s="112" t="s">
        <v>218</v>
      </c>
      <c r="J991" s="4" t="s">
        <v>2761</v>
      </c>
      <c r="K991" s="5" t="s">
        <v>2762</v>
      </c>
      <c r="L991" s="6" t="str">
        <f t="shared" si="199"/>
        <v>EE2</v>
      </c>
      <c r="M991" s="13" t="s">
        <v>256</v>
      </c>
      <c r="N991" s="7" t="s">
        <v>3594</v>
      </c>
      <c r="O991" s="13" t="s">
        <v>2763</v>
      </c>
      <c r="P991" s="115" t="s">
        <v>1617</v>
      </c>
      <c r="Q991" s="8"/>
      <c r="R991" s="2">
        <v>2</v>
      </c>
      <c r="S991" s="9">
        <v>500</v>
      </c>
      <c r="T991" s="10">
        <f t="shared" si="192"/>
        <v>500</v>
      </c>
      <c r="U991" s="9">
        <v>100</v>
      </c>
      <c r="V991" s="10">
        <f t="shared" si="193"/>
        <v>400</v>
      </c>
      <c r="W991" s="4" t="s">
        <v>122</v>
      </c>
      <c r="X991" s="2"/>
      <c r="Y991" s="11">
        <v>2</v>
      </c>
      <c r="Z991" s="12">
        <f t="shared" si="202"/>
        <v>0</v>
      </c>
      <c r="AA991" s="4" t="s">
        <v>2765</v>
      </c>
      <c r="AC991" s="176">
        <f t="shared" si="196"/>
        <v>9.0909090909090912E-2</v>
      </c>
    </row>
    <row r="992" spans="2:29">
      <c r="B992" s="183">
        <f t="shared" si="203"/>
        <v>28</v>
      </c>
      <c r="C992" s="107" t="str">
        <f t="shared" si="204"/>
        <v>ATK</v>
      </c>
      <c r="D992" s="2" t="s">
        <v>2766</v>
      </c>
      <c r="E992" s="3">
        <v>44020</v>
      </c>
      <c r="F992" s="3">
        <v>44020</v>
      </c>
      <c r="G992" s="108">
        <f t="shared" si="205"/>
        <v>7</v>
      </c>
      <c r="H992" s="108" t="str">
        <f t="shared" si="206"/>
        <v>완료</v>
      </c>
      <c r="I992" s="112" t="s">
        <v>218</v>
      </c>
      <c r="J992" s="4" t="s">
        <v>132</v>
      </c>
      <c r="K992" s="5" t="s">
        <v>322</v>
      </c>
      <c r="L992" s="6" t="str">
        <f t="shared" si="199"/>
        <v>3T1</v>
      </c>
      <c r="M992" s="13" t="s">
        <v>542</v>
      </c>
      <c r="N992" s="13" t="s">
        <v>3554</v>
      </c>
      <c r="O992" s="7" t="s">
        <v>543</v>
      </c>
      <c r="P992" s="115" t="s">
        <v>544</v>
      </c>
      <c r="Q992" s="8"/>
      <c r="R992" s="2">
        <v>1</v>
      </c>
      <c r="S992" s="9">
        <v>70</v>
      </c>
      <c r="T992" s="10">
        <f t="shared" si="192"/>
        <v>35</v>
      </c>
      <c r="U992" s="9">
        <v>1</v>
      </c>
      <c r="V992" s="10">
        <f t="shared" si="193"/>
        <v>34</v>
      </c>
      <c r="W992" s="4" t="s">
        <v>122</v>
      </c>
      <c r="X992" s="2"/>
      <c r="Y992" s="11">
        <v>2</v>
      </c>
      <c r="Z992" s="12">
        <f t="shared" si="202"/>
        <v>0</v>
      </c>
      <c r="AA992" s="4" t="s">
        <v>120</v>
      </c>
      <c r="AC992" s="176">
        <f t="shared" si="196"/>
        <v>9.0909090909090909E-4</v>
      </c>
    </row>
    <row r="993" spans="2:29">
      <c r="B993" s="183">
        <f t="shared" si="203"/>
        <v>28</v>
      </c>
      <c r="C993" s="107" t="str">
        <f t="shared" si="204"/>
        <v>ATK</v>
      </c>
      <c r="D993" s="2" t="s">
        <v>2766</v>
      </c>
      <c r="E993" s="3">
        <v>44020</v>
      </c>
      <c r="F993" s="3">
        <v>44021</v>
      </c>
      <c r="G993" s="108">
        <f t="shared" si="205"/>
        <v>7</v>
      </c>
      <c r="H993" s="108" t="str">
        <f t="shared" si="206"/>
        <v>완료</v>
      </c>
      <c r="I993" s="112" t="s">
        <v>218</v>
      </c>
      <c r="J993" s="4" t="s">
        <v>132</v>
      </c>
      <c r="K993" s="5" t="s">
        <v>1193</v>
      </c>
      <c r="L993" s="6" t="str">
        <f t="shared" si="199"/>
        <v>3T2</v>
      </c>
      <c r="M993" s="13" t="s">
        <v>542</v>
      </c>
      <c r="N993" s="7" t="s">
        <v>3884</v>
      </c>
      <c r="O993" s="7" t="s">
        <v>543</v>
      </c>
      <c r="P993" s="115" t="s">
        <v>544</v>
      </c>
      <c r="Q993" s="8"/>
      <c r="R993" s="2">
        <v>6</v>
      </c>
      <c r="S993" s="9">
        <v>70</v>
      </c>
      <c r="T993" s="10">
        <f t="shared" ref="T993:T994" si="207">(S993*50)/100*R993</f>
        <v>210</v>
      </c>
      <c r="U993" s="9">
        <v>1</v>
      </c>
      <c r="V993" s="10">
        <f t="shared" ref="V993:V994" si="208">T993-U993</f>
        <v>209</v>
      </c>
      <c r="W993" s="4" t="s">
        <v>122</v>
      </c>
      <c r="X993" s="2"/>
      <c r="Y993" s="11">
        <v>2</v>
      </c>
      <c r="Z993" s="12">
        <f t="shared" si="202"/>
        <v>1</v>
      </c>
      <c r="AA993" s="4" t="s">
        <v>120</v>
      </c>
      <c r="AC993" s="176">
        <f t="shared" si="196"/>
        <v>9.0909090909090909E-4</v>
      </c>
    </row>
    <row r="994" spans="2:29">
      <c r="B994" s="183">
        <f t="shared" si="203"/>
        <v>28</v>
      </c>
      <c r="C994" s="107" t="str">
        <f t="shared" si="204"/>
        <v>ATK</v>
      </c>
      <c r="D994" s="2" t="s">
        <v>2766</v>
      </c>
      <c r="E994" s="3">
        <v>44020</v>
      </c>
      <c r="F994" s="3">
        <v>44021</v>
      </c>
      <c r="G994" s="108">
        <f t="shared" si="205"/>
        <v>7</v>
      </c>
      <c r="H994" s="108" t="str">
        <f t="shared" si="206"/>
        <v>완료</v>
      </c>
      <c r="I994" s="112" t="s">
        <v>218</v>
      </c>
      <c r="J994" s="4" t="s">
        <v>132</v>
      </c>
      <c r="K994" s="5" t="s">
        <v>2771</v>
      </c>
      <c r="L994" s="6" t="str">
        <f t="shared" si="199"/>
        <v>3T8</v>
      </c>
      <c r="M994" s="13" t="s">
        <v>542</v>
      </c>
      <c r="N994" s="7" t="s">
        <v>3885</v>
      </c>
      <c r="O994" s="7" t="s">
        <v>543</v>
      </c>
      <c r="P994" s="115" t="s">
        <v>544</v>
      </c>
      <c r="Q994" s="8"/>
      <c r="R994" s="2">
        <v>1</v>
      </c>
      <c r="S994" s="9">
        <v>70</v>
      </c>
      <c r="T994" s="10">
        <f t="shared" si="207"/>
        <v>35</v>
      </c>
      <c r="U994" s="9">
        <v>1</v>
      </c>
      <c r="V994" s="10">
        <f t="shared" si="208"/>
        <v>34</v>
      </c>
      <c r="W994" s="4" t="s">
        <v>122</v>
      </c>
      <c r="X994" s="2"/>
      <c r="Y994" s="11">
        <v>2</v>
      </c>
      <c r="Z994" s="12">
        <f t="shared" si="202"/>
        <v>1</v>
      </c>
      <c r="AA994" s="4" t="s">
        <v>120</v>
      </c>
      <c r="AC994" s="176">
        <f t="shared" si="196"/>
        <v>9.0909090909090909E-4</v>
      </c>
    </row>
    <row r="995" spans="2:29">
      <c r="B995" s="183">
        <f t="shared" si="203"/>
        <v>28</v>
      </c>
      <c r="C995" s="107" t="str">
        <f t="shared" si="204"/>
        <v>ATK</v>
      </c>
      <c r="D995" s="2" t="s">
        <v>2767</v>
      </c>
      <c r="E995" s="3">
        <v>44020</v>
      </c>
      <c r="F995" s="3">
        <v>44020</v>
      </c>
      <c r="G995" s="108">
        <f t="shared" si="205"/>
        <v>7</v>
      </c>
      <c r="H995" s="108" t="str">
        <f t="shared" si="206"/>
        <v>완료</v>
      </c>
      <c r="I995" s="112" t="s">
        <v>218</v>
      </c>
      <c r="J995" s="4" t="s">
        <v>139</v>
      </c>
      <c r="K995" s="5" t="s">
        <v>177</v>
      </c>
      <c r="L995" s="6" t="str">
        <f t="shared" si="199"/>
        <v>Bum</v>
      </c>
      <c r="M995" s="13" t="s">
        <v>2769</v>
      </c>
      <c r="N995" s="7"/>
      <c r="O995" s="13" t="s">
        <v>2770</v>
      </c>
      <c r="P995" s="115" t="s">
        <v>2768</v>
      </c>
      <c r="Q995" s="8"/>
      <c r="R995" s="2">
        <v>1</v>
      </c>
      <c r="S995" s="9">
        <v>85</v>
      </c>
      <c r="T995" s="10">
        <f t="shared" si="192"/>
        <v>42.5</v>
      </c>
      <c r="U995" s="9">
        <v>1</v>
      </c>
      <c r="V995" s="10">
        <f t="shared" si="193"/>
        <v>41.5</v>
      </c>
      <c r="W995" s="4" t="s">
        <v>122</v>
      </c>
      <c r="X995" s="2"/>
      <c r="Y995" s="11">
        <v>2</v>
      </c>
      <c r="Z995" s="12">
        <f t="shared" si="202"/>
        <v>0</v>
      </c>
      <c r="AA995" s="4" t="s">
        <v>120</v>
      </c>
      <c r="AC995" s="176">
        <f t="shared" si="196"/>
        <v>9.0909090909090909E-4</v>
      </c>
    </row>
    <row r="996" spans="2:29">
      <c r="B996" s="183">
        <f t="shared" si="203"/>
        <v>28</v>
      </c>
      <c r="C996" s="107" t="str">
        <f t="shared" si="204"/>
        <v>ATK</v>
      </c>
      <c r="D996" s="2" t="s">
        <v>2774</v>
      </c>
      <c r="E996" s="3">
        <v>44020</v>
      </c>
      <c r="F996" s="3">
        <v>44021</v>
      </c>
      <c r="G996" s="108">
        <f t="shared" si="205"/>
        <v>7</v>
      </c>
      <c r="H996" s="108" t="str">
        <f t="shared" si="206"/>
        <v>완료</v>
      </c>
      <c r="I996" s="112" t="s">
        <v>218</v>
      </c>
      <c r="J996" s="4" t="s">
        <v>132</v>
      </c>
      <c r="K996" s="5" t="s">
        <v>322</v>
      </c>
      <c r="L996" s="6" t="str">
        <f t="shared" si="199"/>
        <v>3T1</v>
      </c>
      <c r="M996" s="13" t="s">
        <v>2725</v>
      </c>
      <c r="N996" s="7" t="s">
        <v>3881</v>
      </c>
      <c r="O996" s="13" t="s">
        <v>1002</v>
      </c>
      <c r="P996" s="115" t="s">
        <v>2726</v>
      </c>
      <c r="Q996" s="8" t="s">
        <v>2772</v>
      </c>
      <c r="R996" s="2">
        <v>1</v>
      </c>
      <c r="S996" s="9">
        <v>700</v>
      </c>
      <c r="T996" s="10">
        <f t="shared" si="192"/>
        <v>350</v>
      </c>
      <c r="U996" s="9">
        <v>0</v>
      </c>
      <c r="V996" s="10">
        <f t="shared" si="193"/>
        <v>350</v>
      </c>
      <c r="W996" s="4" t="s">
        <v>122</v>
      </c>
      <c r="X996" s="2"/>
      <c r="Y996" s="11">
        <v>2</v>
      </c>
      <c r="Z996" s="12">
        <f t="shared" si="202"/>
        <v>1</v>
      </c>
      <c r="AA996" s="4" t="s">
        <v>120</v>
      </c>
      <c r="AC996" s="176">
        <f t="shared" si="196"/>
        <v>0</v>
      </c>
    </row>
    <row r="997" spans="2:29">
      <c r="B997" s="183">
        <f t="shared" si="203"/>
        <v>28</v>
      </c>
      <c r="C997" s="107" t="str">
        <f t="shared" si="204"/>
        <v>ATK</v>
      </c>
      <c r="D997" s="2" t="s">
        <v>2774</v>
      </c>
      <c r="E997" s="3">
        <v>44020</v>
      </c>
      <c r="F997" s="3">
        <v>44021</v>
      </c>
      <c r="G997" s="108">
        <f t="shared" si="205"/>
        <v>7</v>
      </c>
      <c r="H997" s="108" t="str">
        <f t="shared" si="206"/>
        <v>완료</v>
      </c>
      <c r="I997" s="112" t="s">
        <v>218</v>
      </c>
      <c r="J997" s="4" t="s">
        <v>132</v>
      </c>
      <c r="K997" s="5" t="s">
        <v>1193</v>
      </c>
      <c r="L997" s="6" t="str">
        <f t="shared" si="199"/>
        <v>3T2</v>
      </c>
      <c r="M997" s="13" t="s">
        <v>2725</v>
      </c>
      <c r="N997" s="7" t="s">
        <v>3886</v>
      </c>
      <c r="O997" s="13" t="s">
        <v>1002</v>
      </c>
      <c r="P997" s="115" t="s">
        <v>2726</v>
      </c>
      <c r="Q997" s="8" t="s">
        <v>2775</v>
      </c>
      <c r="R997" s="2">
        <v>1</v>
      </c>
      <c r="S997" s="9">
        <v>700</v>
      </c>
      <c r="T997" s="10">
        <f t="shared" ref="T997" si="209">(S997*50)/100*R997</f>
        <v>350</v>
      </c>
      <c r="U997" s="9">
        <v>0</v>
      </c>
      <c r="V997" s="10">
        <f t="shared" ref="V997" si="210">T997-U997</f>
        <v>350</v>
      </c>
      <c r="W997" s="4" t="s">
        <v>122</v>
      </c>
      <c r="X997" s="2"/>
      <c r="Y997" s="11">
        <v>1</v>
      </c>
      <c r="Z997" s="12">
        <f t="shared" si="202"/>
        <v>1</v>
      </c>
      <c r="AA997" s="4" t="s">
        <v>120</v>
      </c>
      <c r="AC997" s="176">
        <f t="shared" si="196"/>
        <v>0</v>
      </c>
    </row>
    <row r="998" spans="2:29">
      <c r="B998" s="183">
        <f t="shared" si="203"/>
        <v>28</v>
      </c>
      <c r="C998" s="107" t="str">
        <f t="shared" si="204"/>
        <v>ATK</v>
      </c>
      <c r="D998" s="2" t="s">
        <v>2774</v>
      </c>
      <c r="E998" s="3">
        <v>44020</v>
      </c>
      <c r="F998" s="3">
        <v>44021</v>
      </c>
      <c r="G998" s="108">
        <f t="shared" si="205"/>
        <v>7</v>
      </c>
      <c r="H998" s="108" t="str">
        <f t="shared" si="206"/>
        <v>완료</v>
      </c>
      <c r="I998" s="112" t="s">
        <v>218</v>
      </c>
      <c r="J998" s="4" t="s">
        <v>132</v>
      </c>
      <c r="K998" s="5" t="s">
        <v>1193</v>
      </c>
      <c r="L998" s="6" t="str">
        <f t="shared" si="199"/>
        <v>3T2</v>
      </c>
      <c r="M998" s="13" t="s">
        <v>2725</v>
      </c>
      <c r="N998" s="7" t="s">
        <v>3886</v>
      </c>
      <c r="O998" s="13" t="s">
        <v>1002</v>
      </c>
      <c r="P998" s="115" t="s">
        <v>2726</v>
      </c>
      <c r="Q998" s="8" t="s">
        <v>2776</v>
      </c>
      <c r="R998" s="2">
        <v>1</v>
      </c>
      <c r="S998" s="9">
        <v>700</v>
      </c>
      <c r="T998" s="10">
        <f t="shared" ref="T998:T1015" si="211">(S998*50)/100*R998</f>
        <v>350</v>
      </c>
      <c r="U998" s="9">
        <v>0</v>
      </c>
      <c r="V998" s="10">
        <f t="shared" ref="V998:V1013" si="212">T998-U998</f>
        <v>350</v>
      </c>
      <c r="W998" s="4" t="s">
        <v>122</v>
      </c>
      <c r="X998" s="2"/>
      <c r="Y998" s="11">
        <v>1</v>
      </c>
      <c r="Z998" s="12">
        <f t="shared" si="202"/>
        <v>1</v>
      </c>
      <c r="AA998" s="4" t="s">
        <v>120</v>
      </c>
      <c r="AC998" s="176">
        <f t="shared" si="196"/>
        <v>0</v>
      </c>
    </row>
    <row r="999" spans="2:29">
      <c r="B999" s="183">
        <f t="shared" si="203"/>
        <v>28</v>
      </c>
      <c r="C999" s="107" t="str">
        <f t="shared" si="204"/>
        <v>ATK</v>
      </c>
      <c r="D999" s="2" t="s">
        <v>2774</v>
      </c>
      <c r="E999" s="3">
        <v>44020</v>
      </c>
      <c r="F999" s="3">
        <v>44021</v>
      </c>
      <c r="G999" s="108">
        <f t="shared" si="205"/>
        <v>7</v>
      </c>
      <c r="H999" s="108" t="str">
        <f t="shared" si="206"/>
        <v>완료</v>
      </c>
      <c r="I999" s="112" t="s">
        <v>218</v>
      </c>
      <c r="J999" s="4" t="s">
        <v>132</v>
      </c>
      <c r="K999" s="5" t="s">
        <v>1193</v>
      </c>
      <c r="L999" s="6" t="str">
        <f t="shared" si="199"/>
        <v>3T2</v>
      </c>
      <c r="M999" s="13" t="s">
        <v>2725</v>
      </c>
      <c r="N999" s="7" t="s">
        <v>3886</v>
      </c>
      <c r="O999" s="13" t="s">
        <v>1002</v>
      </c>
      <c r="P999" s="115" t="s">
        <v>2726</v>
      </c>
      <c r="Q999" s="8" t="s">
        <v>2777</v>
      </c>
      <c r="R999" s="2">
        <v>1</v>
      </c>
      <c r="S999" s="9">
        <v>700</v>
      </c>
      <c r="T999" s="10">
        <f t="shared" si="211"/>
        <v>350</v>
      </c>
      <c r="U999" s="9">
        <v>0</v>
      </c>
      <c r="V999" s="10">
        <f t="shared" si="212"/>
        <v>350</v>
      </c>
      <c r="W999" s="4" t="s">
        <v>122</v>
      </c>
      <c r="X999" s="2"/>
      <c r="Y999" s="11">
        <v>1</v>
      </c>
      <c r="Z999" s="12">
        <f t="shared" si="202"/>
        <v>1</v>
      </c>
      <c r="AA999" s="4" t="s">
        <v>120</v>
      </c>
      <c r="AC999" s="176">
        <f t="shared" si="196"/>
        <v>0</v>
      </c>
    </row>
    <row r="1000" spans="2:29">
      <c r="B1000" s="183">
        <f t="shared" si="203"/>
        <v>28</v>
      </c>
      <c r="C1000" s="107" t="str">
        <f t="shared" si="204"/>
        <v>ATK</v>
      </c>
      <c r="D1000" s="2" t="s">
        <v>2774</v>
      </c>
      <c r="E1000" s="3">
        <v>44020</v>
      </c>
      <c r="F1000" s="3">
        <v>44021</v>
      </c>
      <c r="G1000" s="108">
        <f t="shared" si="205"/>
        <v>7</v>
      </c>
      <c r="H1000" s="108" t="str">
        <f t="shared" si="206"/>
        <v>완료</v>
      </c>
      <c r="I1000" s="112" t="s">
        <v>218</v>
      </c>
      <c r="J1000" s="4" t="s">
        <v>132</v>
      </c>
      <c r="K1000" s="5" t="s">
        <v>1193</v>
      </c>
      <c r="L1000" s="6" t="str">
        <f t="shared" si="199"/>
        <v>3T2</v>
      </c>
      <c r="M1000" s="13" t="s">
        <v>2725</v>
      </c>
      <c r="N1000" s="7" t="s">
        <v>3886</v>
      </c>
      <c r="O1000" s="13" t="s">
        <v>1002</v>
      </c>
      <c r="P1000" s="115" t="s">
        <v>2726</v>
      </c>
      <c r="Q1000" s="8" t="s">
        <v>2778</v>
      </c>
      <c r="R1000" s="2">
        <v>1</v>
      </c>
      <c r="S1000" s="9">
        <v>700</v>
      </c>
      <c r="T1000" s="10">
        <f t="shared" si="211"/>
        <v>350</v>
      </c>
      <c r="U1000" s="9">
        <v>0</v>
      </c>
      <c r="V1000" s="10">
        <f t="shared" si="212"/>
        <v>350</v>
      </c>
      <c r="W1000" s="4" t="s">
        <v>122</v>
      </c>
      <c r="X1000" s="2"/>
      <c r="Y1000" s="11">
        <v>1</v>
      </c>
      <c r="Z1000" s="12">
        <f t="shared" si="202"/>
        <v>1</v>
      </c>
      <c r="AA1000" s="4" t="s">
        <v>120</v>
      </c>
      <c r="AC1000" s="176">
        <f t="shared" si="196"/>
        <v>0</v>
      </c>
    </row>
    <row r="1001" spans="2:29">
      <c r="B1001" s="183">
        <f t="shared" si="203"/>
        <v>28</v>
      </c>
      <c r="C1001" s="107" t="str">
        <f t="shared" si="204"/>
        <v>ATK</v>
      </c>
      <c r="D1001" s="2" t="s">
        <v>2779</v>
      </c>
      <c r="E1001" s="3">
        <v>44021</v>
      </c>
      <c r="F1001" s="3">
        <v>44021</v>
      </c>
      <c r="G1001" s="108">
        <f t="shared" si="205"/>
        <v>7</v>
      </c>
      <c r="H1001" s="108" t="str">
        <f t="shared" si="206"/>
        <v>완료</v>
      </c>
      <c r="I1001" s="112" t="s">
        <v>218</v>
      </c>
      <c r="J1001" s="4" t="s">
        <v>118</v>
      </c>
      <c r="K1001" s="5" t="s">
        <v>137</v>
      </c>
      <c r="L1001" s="6" t="str">
        <f t="shared" si="199"/>
        <v>2T2</v>
      </c>
      <c r="M1001" s="13" t="s">
        <v>1763</v>
      </c>
      <c r="N1001" s="7" t="s">
        <v>3478</v>
      </c>
      <c r="O1001" s="13" t="s">
        <v>1256</v>
      </c>
      <c r="P1001" s="115"/>
      <c r="Q1001" s="8"/>
      <c r="R1001" s="2">
        <v>1</v>
      </c>
      <c r="S1001" s="9">
        <v>2000</v>
      </c>
      <c r="T1001" s="10">
        <f t="shared" si="211"/>
        <v>1000</v>
      </c>
      <c r="U1001" s="9">
        <v>1</v>
      </c>
      <c r="V1001" s="10">
        <f t="shared" si="212"/>
        <v>999</v>
      </c>
      <c r="W1001" s="4" t="s">
        <v>122</v>
      </c>
      <c r="X1001" s="2"/>
      <c r="Y1001" s="11">
        <v>1</v>
      </c>
      <c r="Z1001" s="12">
        <f t="shared" si="202"/>
        <v>0</v>
      </c>
      <c r="AA1001" s="4" t="s">
        <v>117</v>
      </c>
      <c r="AC1001" s="176">
        <f t="shared" si="196"/>
        <v>9.0909090909090909E-4</v>
      </c>
    </row>
    <row r="1002" spans="2:29">
      <c r="B1002" s="183">
        <f t="shared" si="203"/>
        <v>49</v>
      </c>
      <c r="C1002" s="107" t="str">
        <f t="shared" si="204"/>
        <v>ATK</v>
      </c>
      <c r="D1002" s="2" t="s">
        <v>2780</v>
      </c>
      <c r="E1002" s="3">
        <v>44020</v>
      </c>
      <c r="F1002" s="3">
        <v>44166</v>
      </c>
      <c r="G1002" s="108">
        <f t="shared" si="205"/>
        <v>12</v>
      </c>
      <c r="H1002" s="108" t="str">
        <f t="shared" si="206"/>
        <v>완료</v>
      </c>
      <c r="I1002" s="112" t="s">
        <v>218</v>
      </c>
      <c r="J1002" s="4" t="s">
        <v>121</v>
      </c>
      <c r="K1002" s="5" t="s">
        <v>136</v>
      </c>
      <c r="L1002" s="6" t="str">
        <f t="shared" si="199"/>
        <v>5T1</v>
      </c>
      <c r="M1002" s="13" t="s">
        <v>2781</v>
      </c>
      <c r="N1002" s="7" t="s">
        <v>3887</v>
      </c>
      <c r="O1002" s="13" t="s">
        <v>2782</v>
      </c>
      <c r="P1002" s="115" t="s">
        <v>2784</v>
      </c>
      <c r="Q1002" s="8"/>
      <c r="R1002" s="2">
        <v>1</v>
      </c>
      <c r="S1002" s="9">
        <v>600</v>
      </c>
      <c r="T1002" s="10">
        <f t="shared" si="211"/>
        <v>300</v>
      </c>
      <c r="U1002" s="9">
        <v>5</v>
      </c>
      <c r="V1002" s="10">
        <f t="shared" si="212"/>
        <v>295</v>
      </c>
      <c r="W1002" s="4" t="s">
        <v>122</v>
      </c>
      <c r="X1002" s="2"/>
      <c r="Y1002" s="11">
        <v>4</v>
      </c>
      <c r="Z1002" s="12">
        <f t="shared" si="202"/>
        <v>146</v>
      </c>
      <c r="AA1002" s="4" t="s">
        <v>2783</v>
      </c>
      <c r="AC1002" s="176">
        <f t="shared" si="196"/>
        <v>4.5454545454545452E-3</v>
      </c>
    </row>
    <row r="1003" spans="2:29">
      <c r="B1003" s="183">
        <f t="shared" si="203"/>
        <v>28</v>
      </c>
      <c r="C1003" s="107" t="str">
        <f t="shared" si="204"/>
        <v>ATK</v>
      </c>
      <c r="D1003" s="2" t="s">
        <v>914</v>
      </c>
      <c r="E1003" s="3">
        <v>44020</v>
      </c>
      <c r="F1003" s="3">
        <v>44020</v>
      </c>
      <c r="G1003" s="108">
        <f t="shared" si="205"/>
        <v>7</v>
      </c>
      <c r="H1003" s="108" t="str">
        <f t="shared" si="206"/>
        <v>완료</v>
      </c>
      <c r="I1003" s="112" t="s">
        <v>218</v>
      </c>
      <c r="J1003" s="4" t="s">
        <v>115</v>
      </c>
      <c r="K1003" s="5" t="s">
        <v>116</v>
      </c>
      <c r="L1003" s="6" t="str">
        <f t="shared" si="199"/>
        <v>EE2</v>
      </c>
      <c r="M1003" s="13" t="s">
        <v>2785</v>
      </c>
      <c r="N1003" s="7" t="s">
        <v>3888</v>
      </c>
      <c r="O1003" s="13" t="s">
        <v>2786</v>
      </c>
      <c r="P1003" s="115" t="s">
        <v>2787</v>
      </c>
      <c r="Q1003" s="8"/>
      <c r="R1003" s="2">
        <v>1</v>
      </c>
      <c r="S1003" s="9">
        <v>500</v>
      </c>
      <c r="T1003" s="10">
        <f t="shared" si="211"/>
        <v>250</v>
      </c>
      <c r="U1003" s="9">
        <v>5</v>
      </c>
      <c r="V1003" s="10">
        <f t="shared" si="212"/>
        <v>245</v>
      </c>
      <c r="W1003" s="4" t="s">
        <v>122</v>
      </c>
      <c r="X1003" s="2"/>
      <c r="Y1003" s="11">
        <v>3</v>
      </c>
      <c r="Z1003" s="12">
        <f t="shared" si="202"/>
        <v>0</v>
      </c>
      <c r="AA1003" s="4" t="s">
        <v>212</v>
      </c>
      <c r="AC1003" s="176">
        <f t="shared" si="196"/>
        <v>4.5454545454545452E-3</v>
      </c>
    </row>
    <row r="1004" spans="2:29">
      <c r="B1004" s="183">
        <f t="shared" si="203"/>
        <v>28</v>
      </c>
      <c r="C1004" s="107" t="str">
        <f t="shared" si="204"/>
        <v>ATK</v>
      </c>
      <c r="D1004" s="2" t="s">
        <v>2788</v>
      </c>
      <c r="E1004" s="3">
        <v>44021</v>
      </c>
      <c r="F1004" s="3">
        <v>44021</v>
      </c>
      <c r="G1004" s="108">
        <f t="shared" si="205"/>
        <v>7</v>
      </c>
      <c r="H1004" s="108" t="str">
        <f t="shared" si="206"/>
        <v>완료</v>
      </c>
      <c r="I1004" s="112" t="s">
        <v>2789</v>
      </c>
      <c r="J1004" s="4" t="s">
        <v>2790</v>
      </c>
      <c r="K1004" s="5" t="s">
        <v>2791</v>
      </c>
      <c r="L1004" s="6" t="str">
        <f t="shared" si="199"/>
        <v>EE1</v>
      </c>
      <c r="M1004" s="13" t="s">
        <v>2792</v>
      </c>
      <c r="N1004" s="7" t="s">
        <v>140</v>
      </c>
      <c r="O1004" s="13" t="s">
        <v>2793</v>
      </c>
      <c r="P1004" s="115" t="s">
        <v>2794</v>
      </c>
      <c r="Q1004" s="8"/>
      <c r="R1004" s="2">
        <v>13</v>
      </c>
      <c r="S1004" s="9">
        <v>100</v>
      </c>
      <c r="T1004" s="10">
        <f t="shared" si="211"/>
        <v>650</v>
      </c>
      <c r="U1004" s="9">
        <v>50</v>
      </c>
      <c r="V1004" s="10">
        <f t="shared" si="212"/>
        <v>600</v>
      </c>
      <c r="W1004" s="4" t="s">
        <v>2795</v>
      </c>
      <c r="X1004" s="2"/>
      <c r="Y1004" s="11">
        <v>4</v>
      </c>
      <c r="Z1004" s="12">
        <f t="shared" si="202"/>
        <v>0</v>
      </c>
      <c r="AA1004" s="4" t="s">
        <v>2796</v>
      </c>
      <c r="AC1004" s="176">
        <f t="shared" si="196"/>
        <v>4.5454545454545456E-2</v>
      </c>
    </row>
    <row r="1005" spans="2:29">
      <c r="B1005" s="183">
        <f t="shared" si="203"/>
        <v>28</v>
      </c>
      <c r="C1005" s="107" t="str">
        <f t="shared" si="204"/>
        <v>ATK</v>
      </c>
      <c r="D1005" s="2" t="s">
        <v>2797</v>
      </c>
      <c r="E1005" s="3">
        <v>44021</v>
      </c>
      <c r="F1005" s="3">
        <v>44022</v>
      </c>
      <c r="G1005" s="108">
        <f t="shared" si="205"/>
        <v>7</v>
      </c>
      <c r="H1005" s="108" t="str">
        <f t="shared" si="206"/>
        <v>완료</v>
      </c>
      <c r="I1005" s="112" t="s">
        <v>264</v>
      </c>
      <c r="J1005" s="4" t="s">
        <v>2798</v>
      </c>
      <c r="K1005" s="5" t="s">
        <v>833</v>
      </c>
      <c r="L1005" s="6" t="str">
        <f t="shared" si="199"/>
        <v>1T3</v>
      </c>
      <c r="M1005" s="13" t="s">
        <v>256</v>
      </c>
      <c r="N1005" s="7" t="s">
        <v>3529</v>
      </c>
      <c r="O1005" s="13" t="s">
        <v>482</v>
      </c>
      <c r="P1005" s="115" t="s">
        <v>2799</v>
      </c>
      <c r="Q1005" s="8"/>
      <c r="R1005" s="2">
        <v>2</v>
      </c>
      <c r="S1005" s="9">
        <v>1500</v>
      </c>
      <c r="T1005" s="10">
        <f t="shared" si="211"/>
        <v>1500</v>
      </c>
      <c r="U1005" s="9">
        <v>5</v>
      </c>
      <c r="V1005" s="10">
        <f t="shared" si="212"/>
        <v>1495</v>
      </c>
      <c r="W1005" s="4" t="s">
        <v>2800</v>
      </c>
      <c r="X1005" s="2"/>
      <c r="Y1005" s="11">
        <v>3</v>
      </c>
      <c r="Z1005" s="12">
        <f t="shared" si="202"/>
        <v>1</v>
      </c>
      <c r="AA1005" s="4" t="s">
        <v>2801</v>
      </c>
      <c r="AC1005" s="176">
        <f t="shared" si="196"/>
        <v>4.5454545454545452E-3</v>
      </c>
    </row>
    <row r="1006" spans="2:29">
      <c r="B1006" s="183">
        <f t="shared" si="203"/>
        <v>28</v>
      </c>
      <c r="C1006" s="107" t="str">
        <f t="shared" si="204"/>
        <v>ATK</v>
      </c>
      <c r="D1006" s="2" t="s">
        <v>2802</v>
      </c>
      <c r="E1006" s="3">
        <v>44021</v>
      </c>
      <c r="F1006" s="3">
        <v>44021</v>
      </c>
      <c r="G1006" s="108">
        <f t="shared" si="205"/>
        <v>7</v>
      </c>
      <c r="H1006" s="108" t="str">
        <f t="shared" si="206"/>
        <v>완료</v>
      </c>
      <c r="I1006" s="112" t="s">
        <v>264</v>
      </c>
      <c r="J1006" s="4" t="s">
        <v>281</v>
      </c>
      <c r="K1006" s="5" t="s">
        <v>282</v>
      </c>
      <c r="L1006" s="6" t="str">
        <f t="shared" si="199"/>
        <v>EE1</v>
      </c>
      <c r="M1006" s="13" t="s">
        <v>216</v>
      </c>
      <c r="N1006" s="7" t="s">
        <v>140</v>
      </c>
      <c r="O1006" s="13" t="s">
        <v>2803</v>
      </c>
      <c r="P1006" s="115" t="s">
        <v>2805</v>
      </c>
      <c r="Q1006" s="8"/>
      <c r="R1006" s="2">
        <v>1</v>
      </c>
      <c r="S1006" s="9">
        <v>1500</v>
      </c>
      <c r="T1006" s="10">
        <f t="shared" si="211"/>
        <v>750</v>
      </c>
      <c r="U1006" s="9">
        <v>10</v>
      </c>
      <c r="V1006" s="10">
        <f t="shared" si="212"/>
        <v>740</v>
      </c>
      <c r="W1006" s="4" t="s">
        <v>249</v>
      </c>
      <c r="X1006" s="2"/>
      <c r="Y1006" s="11">
        <v>4</v>
      </c>
      <c r="Z1006" s="12">
        <f t="shared" si="202"/>
        <v>0</v>
      </c>
      <c r="AA1006" s="4" t="s">
        <v>2804</v>
      </c>
      <c r="AC1006" s="176">
        <f t="shared" si="196"/>
        <v>9.0909090909090905E-3</v>
      </c>
    </row>
    <row r="1007" spans="2:29">
      <c r="B1007" s="183">
        <f t="shared" si="203"/>
        <v>28</v>
      </c>
      <c r="C1007" s="107" t="str">
        <f t="shared" si="204"/>
        <v>ATK</v>
      </c>
      <c r="D1007" s="2" t="s">
        <v>382</v>
      </c>
      <c r="E1007" s="3">
        <v>44022</v>
      </c>
      <c r="F1007" s="3">
        <v>44022</v>
      </c>
      <c r="G1007" s="108">
        <f t="shared" si="205"/>
        <v>7</v>
      </c>
      <c r="H1007" s="108" t="str">
        <f t="shared" si="206"/>
        <v>완료</v>
      </c>
      <c r="I1007" s="112" t="s">
        <v>218</v>
      </c>
      <c r="J1007" s="4" t="s">
        <v>243</v>
      </c>
      <c r="K1007" s="5" t="s">
        <v>243</v>
      </c>
      <c r="L1007" s="6" t="str">
        <f t="shared" si="199"/>
        <v>K5</v>
      </c>
      <c r="M1007" s="13" t="s">
        <v>2806</v>
      </c>
      <c r="N1007" s="7" t="s">
        <v>3889</v>
      </c>
      <c r="O1007" s="13" t="s">
        <v>284</v>
      </c>
      <c r="P1007" s="115" t="s">
        <v>2807</v>
      </c>
      <c r="Q1007" s="8"/>
      <c r="R1007" s="2">
        <v>1</v>
      </c>
      <c r="S1007" s="9">
        <v>1000</v>
      </c>
      <c r="T1007" s="10">
        <f t="shared" si="211"/>
        <v>500</v>
      </c>
      <c r="U1007" s="9">
        <v>5</v>
      </c>
      <c r="V1007" s="10">
        <f t="shared" si="212"/>
        <v>495</v>
      </c>
      <c r="W1007" s="4" t="s">
        <v>122</v>
      </c>
      <c r="X1007" s="2"/>
      <c r="Y1007" s="11">
        <v>3</v>
      </c>
      <c r="Z1007" s="12">
        <f t="shared" si="202"/>
        <v>0</v>
      </c>
      <c r="AA1007" s="4" t="s">
        <v>212</v>
      </c>
      <c r="AC1007" s="176">
        <f t="shared" si="196"/>
        <v>4.5454545454545452E-3</v>
      </c>
    </row>
    <row r="1008" spans="2:29">
      <c r="B1008" s="183">
        <f t="shared" si="203"/>
        <v>28</v>
      </c>
      <c r="C1008" s="107" t="str">
        <f t="shared" si="204"/>
        <v>ATK</v>
      </c>
      <c r="D1008" s="2" t="s">
        <v>382</v>
      </c>
      <c r="E1008" s="3">
        <v>44022</v>
      </c>
      <c r="F1008" s="3">
        <v>44022</v>
      </c>
      <c r="G1008" s="108">
        <f t="shared" si="205"/>
        <v>7</v>
      </c>
      <c r="H1008" s="108" t="str">
        <f t="shared" si="206"/>
        <v>완료</v>
      </c>
      <c r="I1008" s="112" t="s">
        <v>218</v>
      </c>
      <c r="J1008" s="4" t="s">
        <v>243</v>
      </c>
      <c r="K1008" s="5" t="s">
        <v>243</v>
      </c>
      <c r="L1008" s="6" t="str">
        <f t="shared" si="199"/>
        <v>K5</v>
      </c>
      <c r="M1008" s="13" t="s">
        <v>2806</v>
      </c>
      <c r="N1008" s="7" t="s">
        <v>3890</v>
      </c>
      <c r="O1008" s="13" t="s">
        <v>284</v>
      </c>
      <c r="P1008" s="115" t="s">
        <v>1250</v>
      </c>
      <c r="Q1008" s="8"/>
      <c r="R1008" s="2">
        <v>1</v>
      </c>
      <c r="S1008" s="9">
        <v>1000</v>
      </c>
      <c r="T1008" s="10">
        <f t="shared" si="211"/>
        <v>500</v>
      </c>
      <c r="U1008" s="9">
        <v>5</v>
      </c>
      <c r="V1008" s="10">
        <f t="shared" si="212"/>
        <v>495</v>
      </c>
      <c r="W1008" s="4" t="s">
        <v>122</v>
      </c>
      <c r="X1008" s="2"/>
      <c r="Y1008" s="11">
        <v>3</v>
      </c>
      <c r="Z1008" s="12">
        <f t="shared" si="202"/>
        <v>0</v>
      </c>
      <c r="AA1008" s="4" t="s">
        <v>212</v>
      </c>
      <c r="AC1008" s="176">
        <f t="shared" si="196"/>
        <v>4.5454545454545452E-3</v>
      </c>
    </row>
    <row r="1009" spans="2:29">
      <c r="B1009" s="183">
        <f t="shared" si="203"/>
        <v>28</v>
      </c>
      <c r="C1009" s="107" t="str">
        <f t="shared" si="204"/>
        <v>ATK</v>
      </c>
      <c r="D1009" s="2" t="s">
        <v>2808</v>
      </c>
      <c r="E1009" s="3">
        <v>44022</v>
      </c>
      <c r="F1009" s="3">
        <v>44022</v>
      </c>
      <c r="G1009" s="108">
        <f t="shared" si="205"/>
        <v>7</v>
      </c>
      <c r="H1009" s="108" t="str">
        <f t="shared" si="206"/>
        <v>완료</v>
      </c>
      <c r="I1009" s="112" t="s">
        <v>218</v>
      </c>
      <c r="J1009" s="4" t="s">
        <v>118</v>
      </c>
      <c r="K1009" s="5" t="s">
        <v>137</v>
      </c>
      <c r="L1009" s="6" t="str">
        <f t="shared" si="199"/>
        <v>2T2</v>
      </c>
      <c r="M1009" s="13" t="s">
        <v>256</v>
      </c>
      <c r="N1009" s="7" t="s">
        <v>3521</v>
      </c>
      <c r="O1009" s="13" t="s">
        <v>2809</v>
      </c>
      <c r="P1009" s="115" t="s">
        <v>2810</v>
      </c>
      <c r="Q1009" s="8"/>
      <c r="R1009" s="2">
        <v>5</v>
      </c>
      <c r="S1009" s="9">
        <v>300</v>
      </c>
      <c r="T1009" s="10">
        <f t="shared" si="211"/>
        <v>750</v>
      </c>
      <c r="U1009" s="9">
        <v>50</v>
      </c>
      <c r="V1009" s="10">
        <f t="shared" si="212"/>
        <v>700</v>
      </c>
      <c r="W1009" s="4" t="s">
        <v>122</v>
      </c>
      <c r="X1009" s="2"/>
      <c r="Y1009" s="11">
        <v>1</v>
      </c>
      <c r="Z1009" s="12">
        <f t="shared" si="202"/>
        <v>0</v>
      </c>
      <c r="AA1009" s="4" t="s">
        <v>117</v>
      </c>
      <c r="AC1009" s="176">
        <f t="shared" si="196"/>
        <v>4.5454545454545456E-2</v>
      </c>
    </row>
    <row r="1010" spans="2:29">
      <c r="B1010" s="183">
        <f t="shared" si="203"/>
        <v>28</v>
      </c>
      <c r="C1010" s="107" t="str">
        <f t="shared" si="204"/>
        <v>ATK</v>
      </c>
      <c r="D1010" s="2" t="s">
        <v>2811</v>
      </c>
      <c r="E1010" s="3">
        <v>44022</v>
      </c>
      <c r="F1010" s="3">
        <v>44022</v>
      </c>
      <c r="G1010" s="108">
        <f t="shared" si="205"/>
        <v>7</v>
      </c>
      <c r="H1010" s="108" t="str">
        <f t="shared" si="206"/>
        <v>완료</v>
      </c>
      <c r="I1010" s="112" t="s">
        <v>218</v>
      </c>
      <c r="J1010" s="4" t="s">
        <v>499</v>
      </c>
      <c r="K1010" s="5" t="s">
        <v>499</v>
      </c>
      <c r="L1010" s="6" t="str">
        <f t="shared" si="199"/>
        <v>QA</v>
      </c>
      <c r="M1010" s="13" t="s">
        <v>2812</v>
      </c>
      <c r="N1010" s="7"/>
      <c r="O1010" s="13" t="s">
        <v>2813</v>
      </c>
      <c r="P1010" s="115" t="s">
        <v>2814</v>
      </c>
      <c r="Q1010" s="8"/>
      <c r="R1010" s="2">
        <v>1</v>
      </c>
      <c r="S1010" s="9">
        <v>3000</v>
      </c>
      <c r="T1010" s="10">
        <f t="shared" si="211"/>
        <v>1500</v>
      </c>
      <c r="U1010" s="9">
        <v>20</v>
      </c>
      <c r="V1010" s="10">
        <f t="shared" si="212"/>
        <v>1480</v>
      </c>
      <c r="W1010" s="4" t="s">
        <v>122</v>
      </c>
      <c r="X1010" s="2"/>
      <c r="Y1010" s="11">
        <v>3</v>
      </c>
      <c r="Z1010" s="12">
        <f t="shared" si="202"/>
        <v>0</v>
      </c>
      <c r="AA1010" s="4" t="s">
        <v>117</v>
      </c>
      <c r="AC1010" s="176">
        <f t="shared" si="196"/>
        <v>1.8181818181818181E-2</v>
      </c>
    </row>
    <row r="1011" spans="2:29">
      <c r="B1011" s="183">
        <f t="shared" si="203"/>
        <v>28</v>
      </c>
      <c r="C1011" s="107" t="str">
        <f t="shared" si="204"/>
        <v>ATK</v>
      </c>
      <c r="D1011" s="2" t="s">
        <v>2815</v>
      </c>
      <c r="E1011" s="3">
        <v>44022</v>
      </c>
      <c r="F1011" s="3">
        <v>44022</v>
      </c>
      <c r="G1011" s="108">
        <f t="shared" si="205"/>
        <v>7</v>
      </c>
      <c r="H1011" s="108" t="str">
        <f t="shared" si="206"/>
        <v>완료</v>
      </c>
      <c r="I1011" s="112" t="s">
        <v>218</v>
      </c>
      <c r="J1011" s="4" t="s">
        <v>481</v>
      </c>
      <c r="K1011" s="5" t="s">
        <v>695</v>
      </c>
      <c r="L1011" s="6" t="str">
        <f t="shared" si="199"/>
        <v>2T2</v>
      </c>
      <c r="M1011" s="13" t="s">
        <v>256</v>
      </c>
      <c r="N1011" s="7" t="s">
        <v>3529</v>
      </c>
      <c r="O1011" s="13" t="s">
        <v>1782</v>
      </c>
      <c r="P1011" s="115" t="s">
        <v>2816</v>
      </c>
      <c r="Q1011" s="8"/>
      <c r="R1011" s="2">
        <v>1</v>
      </c>
      <c r="S1011" s="9">
        <v>4500</v>
      </c>
      <c r="T1011" s="10">
        <f t="shared" si="211"/>
        <v>2250</v>
      </c>
      <c r="U1011" s="9">
        <v>10</v>
      </c>
      <c r="V1011" s="10">
        <f t="shared" si="212"/>
        <v>2240</v>
      </c>
      <c r="W1011" s="4" t="s">
        <v>122</v>
      </c>
      <c r="X1011" s="2"/>
      <c r="Y1011" s="11">
        <v>4</v>
      </c>
      <c r="Z1011" s="12">
        <f t="shared" si="202"/>
        <v>0</v>
      </c>
      <c r="AA1011" s="4" t="s">
        <v>2817</v>
      </c>
      <c r="AC1011" s="176">
        <f t="shared" ref="AC1011:AC1074" si="213">U1011/1100</f>
        <v>9.0909090909090905E-3</v>
      </c>
    </row>
    <row r="1012" spans="2:29">
      <c r="B1012" s="183">
        <f t="shared" si="203"/>
        <v>28</v>
      </c>
      <c r="C1012" s="107" t="str">
        <f t="shared" si="204"/>
        <v>ATK</v>
      </c>
      <c r="D1012" s="2" t="s">
        <v>2818</v>
      </c>
      <c r="E1012" s="3">
        <v>44022</v>
      </c>
      <c r="F1012" s="3">
        <v>44022</v>
      </c>
      <c r="G1012" s="108">
        <f t="shared" si="205"/>
        <v>7</v>
      </c>
      <c r="H1012" s="108" t="str">
        <f t="shared" si="206"/>
        <v>완료</v>
      </c>
      <c r="I1012" s="112" t="s">
        <v>218</v>
      </c>
      <c r="J1012" s="4" t="s">
        <v>127</v>
      </c>
      <c r="K1012" s="5" t="s">
        <v>135</v>
      </c>
      <c r="L1012" s="6" t="str">
        <f t="shared" si="199"/>
        <v>1T3</v>
      </c>
      <c r="M1012" s="13" t="s">
        <v>2819</v>
      </c>
      <c r="N1012" s="7" t="s">
        <v>3875</v>
      </c>
      <c r="O1012" s="13" t="s">
        <v>1440</v>
      </c>
      <c r="P1012" s="115"/>
      <c r="Q1012" s="8"/>
      <c r="R1012" s="2">
        <v>3</v>
      </c>
      <c r="S1012" s="9">
        <v>800</v>
      </c>
      <c r="T1012" s="10">
        <f t="shared" si="211"/>
        <v>1200</v>
      </c>
      <c r="U1012" s="9">
        <v>100</v>
      </c>
      <c r="V1012" s="10">
        <f t="shared" si="212"/>
        <v>1100</v>
      </c>
      <c r="W1012" s="4" t="s">
        <v>122</v>
      </c>
      <c r="X1012" s="2"/>
      <c r="Y1012" s="11">
        <v>4</v>
      </c>
      <c r="Z1012" s="12">
        <f t="shared" si="202"/>
        <v>0</v>
      </c>
      <c r="AA1012" s="4" t="s">
        <v>259</v>
      </c>
      <c r="AC1012" s="176">
        <f t="shared" si="213"/>
        <v>9.0909090909090912E-2</v>
      </c>
    </row>
    <row r="1013" spans="2:29">
      <c r="B1013" s="183">
        <f t="shared" si="203"/>
        <v>29</v>
      </c>
      <c r="C1013" s="107" t="str">
        <f t="shared" si="204"/>
        <v>ATK</v>
      </c>
      <c r="D1013" s="2" t="s">
        <v>2820</v>
      </c>
      <c r="E1013" s="3">
        <v>44025</v>
      </c>
      <c r="F1013" s="3">
        <v>44025</v>
      </c>
      <c r="G1013" s="108">
        <f t="shared" si="205"/>
        <v>7</v>
      </c>
      <c r="H1013" s="108" t="str">
        <f t="shared" si="206"/>
        <v>Other</v>
      </c>
      <c r="I1013" s="112" t="s">
        <v>251</v>
      </c>
      <c r="J1013" s="4" t="s">
        <v>121</v>
      </c>
      <c r="K1013" s="5" t="s">
        <v>136</v>
      </c>
      <c r="L1013" s="6" t="str">
        <f t="shared" si="199"/>
        <v>5T1</v>
      </c>
      <c r="M1013" s="13" t="s">
        <v>462</v>
      </c>
      <c r="N1013" s="7" t="s">
        <v>140</v>
      </c>
      <c r="O1013" s="13" t="s">
        <v>2821</v>
      </c>
      <c r="P1013" s="115" t="s">
        <v>2822</v>
      </c>
      <c r="Q1013" s="8"/>
      <c r="R1013" s="2">
        <v>1</v>
      </c>
      <c r="S1013" s="9">
        <v>0</v>
      </c>
      <c r="T1013" s="10">
        <f t="shared" si="211"/>
        <v>0</v>
      </c>
      <c r="U1013" s="9">
        <v>0</v>
      </c>
      <c r="V1013" s="10">
        <f t="shared" si="212"/>
        <v>0</v>
      </c>
      <c r="W1013" s="4" t="s">
        <v>122</v>
      </c>
      <c r="X1013" s="2"/>
      <c r="Y1013" s="11">
        <v>2</v>
      </c>
      <c r="Z1013" s="12">
        <f t="shared" si="202"/>
        <v>0</v>
      </c>
      <c r="AA1013" s="4" t="s">
        <v>2823</v>
      </c>
      <c r="AC1013" s="176">
        <f t="shared" si="213"/>
        <v>0</v>
      </c>
    </row>
    <row r="1014" spans="2:29">
      <c r="B1014" s="183">
        <f t="shared" si="203"/>
        <v>29</v>
      </c>
      <c r="C1014" s="107" t="str">
        <f t="shared" si="204"/>
        <v>ATK</v>
      </c>
      <c r="D1014" s="2" t="s">
        <v>2824</v>
      </c>
      <c r="E1014" s="3">
        <v>44025</v>
      </c>
      <c r="F1014" s="3">
        <v>44025</v>
      </c>
      <c r="G1014" s="108">
        <f t="shared" si="205"/>
        <v>7</v>
      </c>
      <c r="H1014" s="108" t="str">
        <f t="shared" si="206"/>
        <v>완료</v>
      </c>
      <c r="I1014" s="112" t="s">
        <v>218</v>
      </c>
      <c r="J1014" s="4" t="s">
        <v>132</v>
      </c>
      <c r="K1014" s="5" t="s">
        <v>1193</v>
      </c>
      <c r="L1014" s="6" t="str">
        <f t="shared" si="199"/>
        <v>3T2</v>
      </c>
      <c r="M1014" s="13" t="s">
        <v>2825</v>
      </c>
      <c r="N1014" s="7" t="s">
        <v>3891</v>
      </c>
      <c r="O1014" s="13" t="s">
        <v>2826</v>
      </c>
      <c r="P1014" s="115" t="s">
        <v>2827</v>
      </c>
      <c r="Q1014" s="8"/>
      <c r="R1014" s="2">
        <v>2</v>
      </c>
      <c r="S1014" s="9">
        <v>170</v>
      </c>
      <c r="T1014" s="10">
        <f t="shared" si="211"/>
        <v>170</v>
      </c>
      <c r="U1014" s="9">
        <v>1</v>
      </c>
      <c r="V1014" s="10">
        <f t="shared" ref="V1014:V1077" si="214">T1014-U1014</f>
        <v>169</v>
      </c>
      <c r="W1014" s="4" t="s">
        <v>122</v>
      </c>
      <c r="X1014" s="2"/>
      <c r="Y1014" s="11">
        <v>3</v>
      </c>
      <c r="Z1014" s="12">
        <f t="shared" si="202"/>
        <v>0</v>
      </c>
      <c r="AA1014" s="4" t="s">
        <v>120</v>
      </c>
      <c r="AC1014" s="176">
        <f t="shared" si="213"/>
        <v>9.0909090909090909E-4</v>
      </c>
    </row>
    <row r="1015" spans="2:29">
      <c r="B1015" s="183">
        <f t="shared" si="203"/>
        <v>29</v>
      </c>
      <c r="C1015" s="107" t="str">
        <f t="shared" si="204"/>
        <v>ATK</v>
      </c>
      <c r="D1015" s="2" t="s">
        <v>255</v>
      </c>
      <c r="E1015" s="3">
        <v>44025</v>
      </c>
      <c r="F1015" s="3">
        <v>44025</v>
      </c>
      <c r="G1015" s="108">
        <f t="shared" si="205"/>
        <v>7</v>
      </c>
      <c r="H1015" s="108" t="str">
        <f t="shared" si="206"/>
        <v>완료</v>
      </c>
      <c r="I1015" s="112" t="s">
        <v>218</v>
      </c>
      <c r="J1015" s="4" t="s">
        <v>127</v>
      </c>
      <c r="K1015" s="5" t="s">
        <v>135</v>
      </c>
      <c r="L1015" s="6" t="str">
        <f t="shared" si="199"/>
        <v>1T3</v>
      </c>
      <c r="M1015" s="13" t="s">
        <v>256</v>
      </c>
      <c r="N1015" s="7" t="s">
        <v>3650</v>
      </c>
      <c r="O1015" s="13" t="s">
        <v>207</v>
      </c>
      <c r="P1015" s="115" t="s">
        <v>2828</v>
      </c>
      <c r="Q1015" s="8"/>
      <c r="R1015" s="2">
        <v>1</v>
      </c>
      <c r="S1015" s="9">
        <v>500</v>
      </c>
      <c r="T1015" s="10">
        <f t="shared" si="211"/>
        <v>250</v>
      </c>
      <c r="U1015" s="9">
        <v>1</v>
      </c>
      <c r="V1015" s="10">
        <f t="shared" si="214"/>
        <v>249</v>
      </c>
      <c r="W1015" s="4" t="s">
        <v>122</v>
      </c>
      <c r="X1015" s="2"/>
      <c r="Y1015" s="11">
        <v>3</v>
      </c>
      <c r="Z1015" s="12">
        <f t="shared" si="202"/>
        <v>0</v>
      </c>
      <c r="AA1015" s="4" t="s">
        <v>120</v>
      </c>
      <c r="AC1015" s="176">
        <f t="shared" si="213"/>
        <v>9.0909090909090909E-4</v>
      </c>
    </row>
    <row r="1016" spans="2:29">
      <c r="B1016" s="183">
        <f t="shared" si="203"/>
        <v>29</v>
      </c>
      <c r="C1016" s="107" t="str">
        <f t="shared" si="204"/>
        <v>ATK</v>
      </c>
      <c r="D1016" s="2" t="s">
        <v>2831</v>
      </c>
      <c r="E1016" s="3">
        <v>44025</v>
      </c>
      <c r="F1016" s="3">
        <v>44029</v>
      </c>
      <c r="G1016" s="108">
        <f t="shared" si="205"/>
        <v>7</v>
      </c>
      <c r="H1016" s="108" t="str">
        <f t="shared" si="206"/>
        <v>완료</v>
      </c>
      <c r="I1016" s="112" t="s">
        <v>514</v>
      </c>
      <c r="J1016" s="4" t="s">
        <v>2830</v>
      </c>
      <c r="K1016" s="5" t="s">
        <v>2830</v>
      </c>
      <c r="L1016" s="6" t="str">
        <f t="shared" si="199"/>
        <v>QA</v>
      </c>
      <c r="M1016" s="13" t="s">
        <v>2829</v>
      </c>
      <c r="N1016" s="7" t="s">
        <v>3892</v>
      </c>
      <c r="O1016" s="13" t="s">
        <v>589</v>
      </c>
      <c r="P1016" s="115" t="s">
        <v>2832</v>
      </c>
      <c r="Q1016" s="8" t="s">
        <v>2838</v>
      </c>
      <c r="R1016" s="2">
        <v>1</v>
      </c>
      <c r="S1016" s="9">
        <v>2000</v>
      </c>
      <c r="T1016" s="10">
        <f t="shared" ref="T1016:T1076" si="215">(S1016*50)/100*R1016</f>
        <v>1000</v>
      </c>
      <c r="U1016" s="9">
        <v>700</v>
      </c>
      <c r="V1016" s="10">
        <f t="shared" si="214"/>
        <v>300</v>
      </c>
      <c r="W1016" s="4" t="s">
        <v>2833</v>
      </c>
      <c r="X1016" s="2" t="s">
        <v>29</v>
      </c>
      <c r="Y1016" s="11">
        <v>1</v>
      </c>
      <c r="Z1016" s="12">
        <f t="shared" si="202"/>
        <v>4</v>
      </c>
      <c r="AA1016" s="4" t="s">
        <v>2834</v>
      </c>
      <c r="AC1016" s="176">
        <f t="shared" si="213"/>
        <v>0.63636363636363635</v>
      </c>
    </row>
    <row r="1017" spans="2:29">
      <c r="B1017" s="183">
        <f t="shared" si="203"/>
        <v>29</v>
      </c>
      <c r="C1017" s="107" t="str">
        <f t="shared" si="204"/>
        <v>ATK</v>
      </c>
      <c r="D1017" s="2" t="s">
        <v>2835</v>
      </c>
      <c r="E1017" s="3">
        <v>44022</v>
      </c>
      <c r="F1017" s="3">
        <v>44025</v>
      </c>
      <c r="G1017" s="108">
        <f t="shared" si="205"/>
        <v>7</v>
      </c>
      <c r="H1017" s="108" t="str">
        <f t="shared" si="206"/>
        <v>완료</v>
      </c>
      <c r="I1017" s="112" t="s">
        <v>218</v>
      </c>
      <c r="J1017" s="4" t="s">
        <v>127</v>
      </c>
      <c r="K1017" s="5" t="s">
        <v>131</v>
      </c>
      <c r="L1017" s="6" t="str">
        <f t="shared" si="199"/>
        <v>1T4</v>
      </c>
      <c r="M1017" s="13" t="s">
        <v>2836</v>
      </c>
      <c r="N1017" s="7" t="s">
        <v>3893</v>
      </c>
      <c r="O1017" s="13" t="s">
        <v>1436</v>
      </c>
      <c r="P1017" s="115" t="s">
        <v>2837</v>
      </c>
      <c r="Q1017" s="8"/>
      <c r="R1017" s="2">
        <v>1</v>
      </c>
      <c r="S1017" s="9">
        <v>1500</v>
      </c>
      <c r="T1017" s="10">
        <f t="shared" si="215"/>
        <v>750</v>
      </c>
      <c r="U1017" s="9"/>
      <c r="V1017" s="10">
        <f t="shared" si="214"/>
        <v>750</v>
      </c>
      <c r="W1017" s="4" t="s">
        <v>122</v>
      </c>
      <c r="X1017" s="2"/>
      <c r="Y1017" s="11">
        <v>5</v>
      </c>
      <c r="Z1017" s="12">
        <f t="shared" si="202"/>
        <v>3</v>
      </c>
      <c r="AA1017" s="4" t="s">
        <v>259</v>
      </c>
      <c r="AC1017" s="176">
        <f t="shared" si="213"/>
        <v>0</v>
      </c>
    </row>
    <row r="1018" spans="2:29">
      <c r="B1018" s="183">
        <f t="shared" si="203"/>
        <v>31</v>
      </c>
      <c r="C1018" s="107" t="str">
        <f t="shared" si="204"/>
        <v>ATK</v>
      </c>
      <c r="D1018" s="2" t="s">
        <v>2839</v>
      </c>
      <c r="E1018" s="3">
        <v>44025</v>
      </c>
      <c r="F1018" s="3">
        <v>44042</v>
      </c>
      <c r="G1018" s="108">
        <f t="shared" si="205"/>
        <v>7</v>
      </c>
      <c r="H1018" s="108" t="str">
        <f t="shared" si="206"/>
        <v>완료</v>
      </c>
      <c r="I1018" s="112" t="s">
        <v>3169</v>
      </c>
      <c r="J1018" s="4" t="s">
        <v>2840</v>
      </c>
      <c r="K1018" s="5" t="s">
        <v>2841</v>
      </c>
      <c r="L1018" s="6" t="str">
        <f t="shared" si="199"/>
        <v>6T2</v>
      </c>
      <c r="M1018" s="13" t="s">
        <v>2842</v>
      </c>
      <c r="N1018" s="7" t="s">
        <v>3894</v>
      </c>
      <c r="O1018" s="13" t="s">
        <v>2843</v>
      </c>
      <c r="P1018" s="115" t="s">
        <v>2844</v>
      </c>
      <c r="Q1018" s="8" t="s">
        <v>2846</v>
      </c>
      <c r="R1018" s="2">
        <v>1</v>
      </c>
      <c r="S1018" s="9">
        <v>15000</v>
      </c>
      <c r="T1018" s="10">
        <f t="shared" si="215"/>
        <v>7500</v>
      </c>
      <c r="U1018" s="9">
        <v>2200</v>
      </c>
      <c r="V1018" s="10">
        <f t="shared" si="214"/>
        <v>5300</v>
      </c>
      <c r="W1018" s="4" t="s">
        <v>326</v>
      </c>
      <c r="X1018" s="2" t="s">
        <v>29</v>
      </c>
      <c r="Y1018" s="11">
        <v>1</v>
      </c>
      <c r="Z1018" s="12">
        <f t="shared" si="202"/>
        <v>17</v>
      </c>
      <c r="AA1018" s="4" t="s">
        <v>2845</v>
      </c>
      <c r="AC1018" s="176">
        <f t="shared" si="213"/>
        <v>2</v>
      </c>
    </row>
    <row r="1019" spans="2:29">
      <c r="B1019" s="183">
        <f t="shared" si="203"/>
        <v>29</v>
      </c>
      <c r="C1019" s="107" t="str">
        <f t="shared" si="204"/>
        <v>ATK</v>
      </c>
      <c r="D1019" s="2" t="s">
        <v>2847</v>
      </c>
      <c r="E1019" s="3">
        <v>44025</v>
      </c>
      <c r="F1019" s="3">
        <v>44025</v>
      </c>
      <c r="G1019" s="108">
        <f t="shared" si="205"/>
        <v>7</v>
      </c>
      <c r="H1019" s="108" t="str">
        <f t="shared" si="206"/>
        <v>완료</v>
      </c>
      <c r="I1019" s="112" t="s">
        <v>264</v>
      </c>
      <c r="J1019" s="4" t="s">
        <v>2848</v>
      </c>
      <c r="K1019" s="5" t="s">
        <v>2849</v>
      </c>
      <c r="L1019" s="6" t="str">
        <f t="shared" si="199"/>
        <v>5T2</v>
      </c>
      <c r="M1019" s="13" t="s">
        <v>207</v>
      </c>
      <c r="N1019" s="7" t="s">
        <v>3895</v>
      </c>
      <c r="O1019" s="13" t="s">
        <v>207</v>
      </c>
      <c r="P1019" s="115" t="s">
        <v>2850</v>
      </c>
      <c r="Q1019" s="8"/>
      <c r="R1019" s="2">
        <v>1</v>
      </c>
      <c r="S1019" s="9">
        <v>700</v>
      </c>
      <c r="T1019" s="10">
        <f t="shared" si="215"/>
        <v>350</v>
      </c>
      <c r="U1019" s="9">
        <v>5</v>
      </c>
      <c r="V1019" s="10">
        <f t="shared" si="214"/>
        <v>345</v>
      </c>
      <c r="W1019" s="4" t="s">
        <v>2851</v>
      </c>
      <c r="X1019" s="2"/>
      <c r="Y1019" s="11">
        <v>4</v>
      </c>
      <c r="Z1019" s="12">
        <f t="shared" si="202"/>
        <v>0</v>
      </c>
      <c r="AA1019" s="4" t="s">
        <v>2852</v>
      </c>
      <c r="AC1019" s="176">
        <f t="shared" si="213"/>
        <v>4.5454545454545452E-3</v>
      </c>
    </row>
    <row r="1020" spans="2:29">
      <c r="B1020" s="183">
        <f t="shared" si="203"/>
        <v>29</v>
      </c>
      <c r="C1020" s="107" t="str">
        <f t="shared" si="204"/>
        <v>ATK</v>
      </c>
      <c r="D1020" s="2" t="s">
        <v>2853</v>
      </c>
      <c r="E1020" s="3">
        <v>44025</v>
      </c>
      <c r="F1020" s="3">
        <v>44025</v>
      </c>
      <c r="G1020" s="108">
        <f t="shared" si="205"/>
        <v>7</v>
      </c>
      <c r="H1020" s="108" t="str">
        <f t="shared" si="206"/>
        <v>Other</v>
      </c>
      <c r="I1020" s="112" t="s">
        <v>251</v>
      </c>
      <c r="J1020" s="4" t="s">
        <v>121</v>
      </c>
      <c r="K1020" s="5" t="s">
        <v>229</v>
      </c>
      <c r="L1020" s="6" t="str">
        <f t="shared" si="199"/>
        <v>5T2</v>
      </c>
      <c r="M1020" s="13" t="s">
        <v>226</v>
      </c>
      <c r="N1020" s="7" t="s">
        <v>3852</v>
      </c>
      <c r="O1020" s="13" t="s">
        <v>2855</v>
      </c>
      <c r="P1020" s="115" t="s">
        <v>2856</v>
      </c>
      <c r="Q1020" s="8"/>
      <c r="R1020" s="2">
        <v>1</v>
      </c>
      <c r="S1020" s="9">
        <v>0</v>
      </c>
      <c r="T1020" s="10">
        <f t="shared" si="215"/>
        <v>0</v>
      </c>
      <c r="U1020" s="9">
        <v>0</v>
      </c>
      <c r="V1020" s="10">
        <f t="shared" si="214"/>
        <v>0</v>
      </c>
      <c r="W1020" s="4" t="s">
        <v>249</v>
      </c>
      <c r="X1020" s="2"/>
      <c r="Y1020" s="11">
        <v>2</v>
      </c>
      <c r="Z1020" s="12">
        <f t="shared" si="202"/>
        <v>0</v>
      </c>
      <c r="AA1020" s="4" t="s">
        <v>2854</v>
      </c>
      <c r="AC1020" s="176">
        <f t="shared" si="213"/>
        <v>0</v>
      </c>
    </row>
    <row r="1021" spans="2:29">
      <c r="B1021" s="183">
        <f t="shared" si="203"/>
        <v>29</v>
      </c>
      <c r="C1021" s="107" t="str">
        <f t="shared" si="204"/>
        <v>ATK</v>
      </c>
      <c r="D1021" s="2" t="s">
        <v>2857</v>
      </c>
      <c r="E1021" s="3">
        <v>44026</v>
      </c>
      <c r="F1021" s="3">
        <v>44026</v>
      </c>
      <c r="G1021" s="108">
        <f t="shared" si="205"/>
        <v>7</v>
      </c>
      <c r="H1021" s="108" t="str">
        <f t="shared" si="206"/>
        <v>완료</v>
      </c>
      <c r="I1021" s="112" t="s">
        <v>218</v>
      </c>
      <c r="J1021" s="4" t="s">
        <v>336</v>
      </c>
      <c r="K1021" s="5" t="s">
        <v>136</v>
      </c>
      <c r="L1021" s="6" t="str">
        <f t="shared" si="199"/>
        <v>5T1</v>
      </c>
      <c r="M1021" s="13" t="s">
        <v>2858</v>
      </c>
      <c r="N1021" s="7" t="s">
        <v>3641</v>
      </c>
      <c r="O1021" s="13" t="s">
        <v>2859</v>
      </c>
      <c r="P1021" s="115" t="s">
        <v>2860</v>
      </c>
      <c r="Q1021" s="8"/>
      <c r="R1021" s="2">
        <v>1</v>
      </c>
      <c r="S1021" s="9">
        <v>1000</v>
      </c>
      <c r="T1021" s="10">
        <f t="shared" si="215"/>
        <v>500</v>
      </c>
      <c r="U1021" s="9"/>
      <c r="V1021" s="10">
        <f t="shared" si="214"/>
        <v>500</v>
      </c>
      <c r="W1021" s="4" t="s">
        <v>122</v>
      </c>
      <c r="X1021" s="2"/>
      <c r="Y1021" s="11">
        <v>4</v>
      </c>
      <c r="Z1021" s="12">
        <f t="shared" si="202"/>
        <v>0</v>
      </c>
      <c r="AA1021" s="4" t="s">
        <v>212</v>
      </c>
      <c r="AC1021" s="176">
        <f t="shared" si="213"/>
        <v>0</v>
      </c>
    </row>
    <row r="1022" spans="2:29">
      <c r="B1022" s="183">
        <f t="shared" si="203"/>
        <v>29</v>
      </c>
      <c r="C1022" s="107" t="str">
        <f t="shared" si="204"/>
        <v>ATK</v>
      </c>
      <c r="D1022" s="2" t="s">
        <v>2203</v>
      </c>
      <c r="E1022" s="3">
        <v>44026</v>
      </c>
      <c r="F1022" s="3">
        <v>44026</v>
      </c>
      <c r="G1022" s="108">
        <f t="shared" si="205"/>
        <v>7</v>
      </c>
      <c r="H1022" s="108" t="str">
        <f t="shared" si="206"/>
        <v>완료</v>
      </c>
      <c r="I1022" s="112" t="s">
        <v>2861</v>
      </c>
      <c r="J1022" s="4" t="s">
        <v>2147</v>
      </c>
      <c r="K1022" s="5" t="s">
        <v>177</v>
      </c>
      <c r="L1022" s="6" t="str">
        <f t="shared" si="199"/>
        <v>Bum</v>
      </c>
      <c r="M1022" s="13" t="s">
        <v>2862</v>
      </c>
      <c r="N1022" s="7" t="s">
        <v>3896</v>
      </c>
      <c r="O1022" s="13" t="s">
        <v>225</v>
      </c>
      <c r="P1022" s="115" t="s">
        <v>2863</v>
      </c>
      <c r="Q1022" s="8"/>
      <c r="R1022" s="2">
        <v>1</v>
      </c>
      <c r="S1022" s="9">
        <v>2500</v>
      </c>
      <c r="T1022" s="10">
        <f t="shared" si="215"/>
        <v>1250</v>
      </c>
      <c r="U1022" s="9">
        <v>25</v>
      </c>
      <c r="V1022" s="10">
        <f t="shared" si="214"/>
        <v>1225</v>
      </c>
      <c r="W1022" s="4" t="s">
        <v>2864</v>
      </c>
      <c r="X1022" s="2"/>
      <c r="Y1022" s="11">
        <v>2</v>
      </c>
      <c r="Z1022" s="12">
        <f t="shared" si="202"/>
        <v>0</v>
      </c>
      <c r="AA1022" s="4" t="s">
        <v>2865</v>
      </c>
      <c r="AC1022" s="176">
        <f t="shared" si="213"/>
        <v>2.2727272727272728E-2</v>
      </c>
    </row>
    <row r="1023" spans="2:29">
      <c r="B1023" s="183">
        <f t="shared" si="203"/>
        <v>29</v>
      </c>
      <c r="C1023" s="107" t="str">
        <f t="shared" si="204"/>
        <v>ATK</v>
      </c>
      <c r="D1023" s="2" t="s">
        <v>217</v>
      </c>
      <c r="E1023" s="3">
        <v>44026</v>
      </c>
      <c r="F1023" s="3">
        <v>44026</v>
      </c>
      <c r="G1023" s="108">
        <f t="shared" si="205"/>
        <v>7</v>
      </c>
      <c r="H1023" s="108" t="str">
        <f t="shared" si="206"/>
        <v>완료</v>
      </c>
      <c r="I1023" s="112" t="s">
        <v>218</v>
      </c>
      <c r="J1023" s="4" t="s">
        <v>127</v>
      </c>
      <c r="K1023" s="5" t="s">
        <v>131</v>
      </c>
      <c r="L1023" s="6" t="str">
        <f t="shared" si="199"/>
        <v>1T4</v>
      </c>
      <c r="M1023" s="13" t="s">
        <v>2866</v>
      </c>
      <c r="N1023" s="7" t="s">
        <v>3897</v>
      </c>
      <c r="O1023" s="13" t="s">
        <v>524</v>
      </c>
      <c r="P1023" s="115" t="s">
        <v>2867</v>
      </c>
      <c r="Q1023" s="8" t="s">
        <v>2868</v>
      </c>
      <c r="R1023" s="2">
        <v>1</v>
      </c>
      <c r="S1023" s="9">
        <v>5000</v>
      </c>
      <c r="T1023" s="10">
        <f t="shared" si="215"/>
        <v>2500</v>
      </c>
      <c r="U1023" s="9">
        <v>0</v>
      </c>
      <c r="V1023" s="10">
        <f t="shared" si="214"/>
        <v>2500</v>
      </c>
      <c r="W1023" s="4" t="s">
        <v>122</v>
      </c>
      <c r="X1023" s="2"/>
      <c r="Y1023" s="11">
        <v>4</v>
      </c>
      <c r="Z1023" s="12">
        <f t="shared" si="202"/>
        <v>0</v>
      </c>
      <c r="AA1023" s="4" t="s">
        <v>120</v>
      </c>
      <c r="AC1023" s="176">
        <f t="shared" si="213"/>
        <v>0</v>
      </c>
    </row>
    <row r="1024" spans="2:29">
      <c r="B1024" s="183">
        <f t="shared" si="203"/>
        <v>29</v>
      </c>
      <c r="C1024" s="107" t="str">
        <f t="shared" si="204"/>
        <v>ATK</v>
      </c>
      <c r="D1024" s="2" t="s">
        <v>2869</v>
      </c>
      <c r="E1024" s="3">
        <v>44026</v>
      </c>
      <c r="F1024" s="3">
        <v>44027</v>
      </c>
      <c r="G1024" s="108">
        <f t="shared" si="205"/>
        <v>7</v>
      </c>
      <c r="H1024" s="108" t="str">
        <f t="shared" si="206"/>
        <v>완료</v>
      </c>
      <c r="I1024" s="112" t="s">
        <v>218</v>
      </c>
      <c r="J1024" s="4" t="s">
        <v>115</v>
      </c>
      <c r="K1024" s="5" t="s">
        <v>116</v>
      </c>
      <c r="L1024" s="6" t="str">
        <f t="shared" si="199"/>
        <v>EE2</v>
      </c>
      <c r="M1024" s="13" t="s">
        <v>754</v>
      </c>
      <c r="N1024" s="7" t="s">
        <v>3637</v>
      </c>
      <c r="O1024" s="13" t="s">
        <v>2870</v>
      </c>
      <c r="P1024" s="115"/>
      <c r="Q1024" s="8"/>
      <c r="R1024" s="2">
        <v>2</v>
      </c>
      <c r="S1024" s="9">
        <v>600</v>
      </c>
      <c r="T1024" s="10">
        <f t="shared" si="215"/>
        <v>600</v>
      </c>
      <c r="U1024" s="9">
        <v>20</v>
      </c>
      <c r="V1024" s="10">
        <f t="shared" si="214"/>
        <v>580</v>
      </c>
      <c r="W1024" s="4" t="s">
        <v>122</v>
      </c>
      <c r="X1024" s="2"/>
      <c r="Y1024" s="11">
        <v>7</v>
      </c>
      <c r="Z1024" s="12">
        <f t="shared" si="202"/>
        <v>1</v>
      </c>
      <c r="AA1024" s="4" t="s">
        <v>117</v>
      </c>
      <c r="AC1024" s="176">
        <f t="shared" si="213"/>
        <v>1.8181818181818181E-2</v>
      </c>
    </row>
    <row r="1025" spans="2:29">
      <c r="B1025" s="183">
        <f t="shared" si="203"/>
        <v>29</v>
      </c>
      <c r="C1025" s="107" t="str">
        <f t="shared" si="204"/>
        <v>ATK</v>
      </c>
      <c r="D1025" s="2" t="s">
        <v>2871</v>
      </c>
      <c r="E1025" s="3">
        <v>44026</v>
      </c>
      <c r="F1025" s="3">
        <v>44027</v>
      </c>
      <c r="G1025" s="108">
        <f t="shared" si="205"/>
        <v>7</v>
      </c>
      <c r="H1025" s="108" t="str">
        <f t="shared" si="206"/>
        <v>완료</v>
      </c>
      <c r="I1025" s="112" t="s">
        <v>218</v>
      </c>
      <c r="J1025" s="4" t="s">
        <v>2872</v>
      </c>
      <c r="K1025" s="5" t="s">
        <v>2873</v>
      </c>
      <c r="L1025" s="6" t="str">
        <f t="shared" si="199"/>
        <v>Bum</v>
      </c>
      <c r="M1025" s="13" t="s">
        <v>226</v>
      </c>
      <c r="N1025" s="7" t="s">
        <v>3898</v>
      </c>
      <c r="O1025" s="13" t="s">
        <v>2874</v>
      </c>
      <c r="P1025" s="115" t="s">
        <v>2876</v>
      </c>
      <c r="Q1025" s="8"/>
      <c r="R1025" s="2">
        <v>1</v>
      </c>
      <c r="S1025" s="9">
        <v>2000</v>
      </c>
      <c r="T1025" s="10">
        <f t="shared" si="215"/>
        <v>1000</v>
      </c>
      <c r="U1025" s="9">
        <v>50</v>
      </c>
      <c r="V1025" s="10">
        <f t="shared" si="214"/>
        <v>950</v>
      </c>
      <c r="W1025" s="4" t="s">
        <v>122</v>
      </c>
      <c r="X1025" s="2"/>
      <c r="Y1025" s="11">
        <v>8</v>
      </c>
      <c r="Z1025" s="12">
        <f t="shared" si="202"/>
        <v>1</v>
      </c>
      <c r="AA1025" s="4" t="s">
        <v>2875</v>
      </c>
      <c r="AC1025" s="176">
        <f t="shared" si="213"/>
        <v>4.5454545454545456E-2</v>
      </c>
    </row>
    <row r="1026" spans="2:29">
      <c r="B1026" s="183">
        <f t="shared" si="203"/>
        <v>29</v>
      </c>
      <c r="C1026" s="107" t="str">
        <f t="shared" si="204"/>
        <v>ATK</v>
      </c>
      <c r="D1026" s="2" t="s">
        <v>2877</v>
      </c>
      <c r="E1026" s="3">
        <v>44027</v>
      </c>
      <c r="F1026" s="3">
        <v>44027</v>
      </c>
      <c r="G1026" s="108">
        <f t="shared" si="205"/>
        <v>7</v>
      </c>
      <c r="H1026" s="108" t="str">
        <f t="shared" si="206"/>
        <v>완료</v>
      </c>
      <c r="I1026" s="112" t="s">
        <v>218</v>
      </c>
      <c r="J1026" s="4" t="s">
        <v>2878</v>
      </c>
      <c r="K1026" s="5" t="s">
        <v>2879</v>
      </c>
      <c r="L1026" s="6" t="str">
        <f t="shared" ref="L1026:L1089" si="216">LEFT(K1026,3)</f>
        <v>EE2</v>
      </c>
      <c r="M1026" s="13" t="s">
        <v>226</v>
      </c>
      <c r="N1026" s="7" t="s">
        <v>3899</v>
      </c>
      <c r="O1026" s="13" t="s">
        <v>2880</v>
      </c>
      <c r="P1026" s="115" t="s">
        <v>2881</v>
      </c>
      <c r="Q1026" s="8"/>
      <c r="R1026" s="2">
        <v>1</v>
      </c>
      <c r="S1026" s="9">
        <v>500</v>
      </c>
      <c r="T1026" s="10">
        <f t="shared" si="215"/>
        <v>250</v>
      </c>
      <c r="U1026" s="9">
        <v>5</v>
      </c>
      <c r="V1026" s="10">
        <f t="shared" si="214"/>
        <v>245</v>
      </c>
      <c r="W1026" s="4" t="s">
        <v>122</v>
      </c>
      <c r="X1026" s="2"/>
      <c r="Y1026" s="11">
        <v>3</v>
      </c>
      <c r="Z1026" s="12">
        <f t="shared" ref="Z1026:Z1089" si="217">F1026-E1026</f>
        <v>0</v>
      </c>
      <c r="AA1026" s="4" t="s">
        <v>2882</v>
      </c>
      <c r="AC1026" s="176">
        <f t="shared" si="213"/>
        <v>4.5454545454545452E-3</v>
      </c>
    </row>
    <row r="1027" spans="2:29">
      <c r="B1027" s="183">
        <f t="shared" ref="B1027:B1090" si="218">IF(F1027&gt;0,IFERROR(WEEKNUM(F1027),""),"")</f>
        <v>29</v>
      </c>
      <c r="C1027" s="107" t="str">
        <f t="shared" ref="C1027:C1090" si="219">IF(D1027=0,"",(IF(LEFT(D1027,3)="ATK","ATK",IF(LEFT(D1027,2)="AT",D1027,"ATK"))))</f>
        <v>ATK</v>
      </c>
      <c r="D1027" s="2" t="s">
        <v>2883</v>
      </c>
      <c r="E1027" s="3">
        <v>44027</v>
      </c>
      <c r="F1027" s="3">
        <v>44028</v>
      </c>
      <c r="G1027" s="108">
        <f t="shared" ref="G1027:G1090" si="220">IF(F1027&gt;0,MONTH(F1027),"")</f>
        <v>7</v>
      </c>
      <c r="H1027" s="108" t="str">
        <f t="shared" ref="H1027:H1090" si="221">IF(I1027=0,"",IF(RIGHT(I1027,2)="완료","완료",IF(RIGHT(I1027,2)="불가","수리불가",IF(RIGHT(I1027,1)="중","수리중","Other"))))</f>
        <v>완료</v>
      </c>
      <c r="I1027" s="112" t="s">
        <v>218</v>
      </c>
      <c r="J1027" s="4" t="s">
        <v>808</v>
      </c>
      <c r="K1027" s="5" t="s">
        <v>833</v>
      </c>
      <c r="L1027" s="6" t="str">
        <f t="shared" si="216"/>
        <v>1T3</v>
      </c>
      <c r="M1027" s="13" t="s">
        <v>256</v>
      </c>
      <c r="N1027" s="7" t="s">
        <v>3529</v>
      </c>
      <c r="O1027" s="13" t="s">
        <v>482</v>
      </c>
      <c r="P1027" s="115" t="s">
        <v>2884</v>
      </c>
      <c r="Q1027" s="8"/>
      <c r="R1027" s="2">
        <v>1</v>
      </c>
      <c r="S1027" s="9">
        <v>1600</v>
      </c>
      <c r="T1027" s="10">
        <f t="shared" si="215"/>
        <v>800</v>
      </c>
      <c r="U1027" s="9">
        <v>20</v>
      </c>
      <c r="V1027" s="10">
        <f t="shared" si="214"/>
        <v>780</v>
      </c>
      <c r="W1027" s="4" t="s">
        <v>122</v>
      </c>
      <c r="X1027" s="2"/>
      <c r="Y1027" s="11">
        <v>2</v>
      </c>
      <c r="Z1027" s="12">
        <f t="shared" si="217"/>
        <v>1</v>
      </c>
      <c r="AA1027" s="4" t="s">
        <v>2882</v>
      </c>
      <c r="AC1027" s="176">
        <f t="shared" si="213"/>
        <v>1.8181818181818181E-2</v>
      </c>
    </row>
    <row r="1028" spans="2:29">
      <c r="B1028" s="183">
        <f t="shared" si="218"/>
        <v>29</v>
      </c>
      <c r="C1028" s="107" t="str">
        <f t="shared" si="219"/>
        <v>ATK</v>
      </c>
      <c r="D1028" s="2" t="s">
        <v>2885</v>
      </c>
      <c r="E1028" s="3">
        <v>44026</v>
      </c>
      <c r="F1028" s="3">
        <v>44026</v>
      </c>
      <c r="G1028" s="108">
        <f t="shared" si="220"/>
        <v>7</v>
      </c>
      <c r="H1028" s="108" t="str">
        <f t="shared" si="221"/>
        <v>완료</v>
      </c>
      <c r="I1028" s="112" t="s">
        <v>218</v>
      </c>
      <c r="J1028" s="4" t="s">
        <v>132</v>
      </c>
      <c r="K1028" s="5" t="s">
        <v>322</v>
      </c>
      <c r="L1028" s="6" t="str">
        <f t="shared" si="216"/>
        <v>3T1</v>
      </c>
      <c r="M1028" s="13" t="s">
        <v>2886</v>
      </c>
      <c r="N1028" s="7" t="s">
        <v>3866</v>
      </c>
      <c r="O1028" s="13" t="s">
        <v>2888</v>
      </c>
      <c r="P1028" s="115" t="s">
        <v>2887</v>
      </c>
      <c r="Q1028" s="8"/>
      <c r="R1028" s="2">
        <v>2</v>
      </c>
      <c r="S1028" s="9">
        <v>2000</v>
      </c>
      <c r="T1028" s="10">
        <f t="shared" si="215"/>
        <v>2000</v>
      </c>
      <c r="U1028" s="9">
        <v>0</v>
      </c>
      <c r="V1028" s="10">
        <f t="shared" si="214"/>
        <v>2000</v>
      </c>
      <c r="W1028" s="4" t="s">
        <v>122</v>
      </c>
      <c r="X1028" s="2"/>
      <c r="Y1028" s="11">
        <v>4</v>
      </c>
      <c r="Z1028" s="12">
        <f t="shared" si="217"/>
        <v>0</v>
      </c>
      <c r="AA1028" s="4" t="s">
        <v>212</v>
      </c>
      <c r="AC1028" s="176">
        <f t="shared" si="213"/>
        <v>0</v>
      </c>
    </row>
    <row r="1029" spans="2:29">
      <c r="B1029" s="183">
        <f t="shared" si="218"/>
        <v>29</v>
      </c>
      <c r="C1029" s="107" t="str">
        <f t="shared" si="219"/>
        <v>ATK</v>
      </c>
      <c r="D1029" s="2" t="s">
        <v>2889</v>
      </c>
      <c r="E1029" s="3">
        <v>44027</v>
      </c>
      <c r="F1029" s="3">
        <v>44027</v>
      </c>
      <c r="G1029" s="108">
        <f t="shared" si="220"/>
        <v>7</v>
      </c>
      <c r="H1029" s="108" t="str">
        <f t="shared" si="221"/>
        <v>완료</v>
      </c>
      <c r="I1029" s="112" t="s">
        <v>218</v>
      </c>
      <c r="J1029" s="4" t="s">
        <v>127</v>
      </c>
      <c r="K1029" s="5" t="s">
        <v>135</v>
      </c>
      <c r="L1029" s="6" t="str">
        <f t="shared" si="216"/>
        <v>1T3</v>
      </c>
      <c r="M1029" s="13" t="s">
        <v>256</v>
      </c>
      <c r="N1029" s="7" t="s">
        <v>3506</v>
      </c>
      <c r="O1029" s="13" t="s">
        <v>2890</v>
      </c>
      <c r="P1029" s="115" t="s">
        <v>2891</v>
      </c>
      <c r="Q1029" s="8"/>
      <c r="R1029" s="2">
        <v>1</v>
      </c>
      <c r="S1029" s="9">
        <v>3500</v>
      </c>
      <c r="T1029" s="10">
        <f t="shared" si="215"/>
        <v>1750</v>
      </c>
      <c r="U1029" s="9"/>
      <c r="V1029" s="10">
        <f t="shared" si="214"/>
        <v>1750</v>
      </c>
      <c r="W1029" s="4" t="s">
        <v>122</v>
      </c>
      <c r="X1029" s="2"/>
      <c r="Y1029" s="11">
        <v>5</v>
      </c>
      <c r="Z1029" s="12">
        <f t="shared" si="217"/>
        <v>0</v>
      </c>
      <c r="AA1029" s="4" t="s">
        <v>259</v>
      </c>
      <c r="AC1029" s="176">
        <f t="shared" si="213"/>
        <v>0</v>
      </c>
    </row>
    <row r="1030" spans="2:29">
      <c r="B1030" s="183">
        <f t="shared" si="218"/>
        <v>29</v>
      </c>
      <c r="C1030" s="107" t="str">
        <f t="shared" si="219"/>
        <v>ATK</v>
      </c>
      <c r="D1030" s="2" t="s">
        <v>2892</v>
      </c>
      <c r="E1030" s="3">
        <v>44028</v>
      </c>
      <c r="F1030" s="3">
        <v>44029</v>
      </c>
      <c r="G1030" s="108">
        <f t="shared" si="220"/>
        <v>7</v>
      </c>
      <c r="H1030" s="108" t="str">
        <f t="shared" si="221"/>
        <v>완료</v>
      </c>
      <c r="I1030" s="112" t="s">
        <v>218</v>
      </c>
      <c r="J1030" s="4" t="s">
        <v>808</v>
      </c>
      <c r="K1030" s="5" t="s">
        <v>833</v>
      </c>
      <c r="L1030" s="6" t="str">
        <f t="shared" si="216"/>
        <v>1T3</v>
      </c>
      <c r="M1030" s="13" t="s">
        <v>256</v>
      </c>
      <c r="N1030" s="7" t="s">
        <v>3529</v>
      </c>
      <c r="O1030" s="13" t="s">
        <v>482</v>
      </c>
      <c r="P1030" s="115" t="s">
        <v>953</v>
      </c>
      <c r="Q1030" s="8"/>
      <c r="R1030" s="2">
        <v>1</v>
      </c>
      <c r="S1030" s="9">
        <v>1600</v>
      </c>
      <c r="T1030" s="10">
        <f t="shared" ref="T1030:T1031" si="222">(S1030*50)/100*R1030</f>
        <v>800</v>
      </c>
      <c r="U1030" s="9">
        <v>5</v>
      </c>
      <c r="V1030" s="10">
        <f t="shared" ref="V1030:V1031" si="223">T1030-U1030</f>
        <v>795</v>
      </c>
      <c r="W1030" s="4" t="s">
        <v>122</v>
      </c>
      <c r="X1030" s="2"/>
      <c r="Y1030" s="11">
        <v>6</v>
      </c>
      <c r="Z1030" s="12">
        <f t="shared" si="217"/>
        <v>1</v>
      </c>
      <c r="AA1030" s="4" t="s">
        <v>174</v>
      </c>
      <c r="AC1030" s="176">
        <f t="shared" si="213"/>
        <v>4.5454545454545452E-3</v>
      </c>
    </row>
    <row r="1031" spans="2:29">
      <c r="B1031" s="183">
        <f t="shared" si="218"/>
        <v>29</v>
      </c>
      <c r="C1031" s="107" t="str">
        <f t="shared" si="219"/>
        <v>ATK</v>
      </c>
      <c r="D1031" s="2" t="s">
        <v>338</v>
      </c>
      <c r="E1031" s="3">
        <v>44027</v>
      </c>
      <c r="F1031" s="3">
        <v>44028</v>
      </c>
      <c r="G1031" s="108">
        <f t="shared" si="220"/>
        <v>7</v>
      </c>
      <c r="H1031" s="108" t="str">
        <f t="shared" si="221"/>
        <v>완료</v>
      </c>
      <c r="I1031" s="112" t="s">
        <v>218</v>
      </c>
      <c r="J1031" s="4" t="s">
        <v>281</v>
      </c>
      <c r="K1031" s="5" t="s">
        <v>332</v>
      </c>
      <c r="L1031" s="6" t="str">
        <f t="shared" si="216"/>
        <v>EE2</v>
      </c>
      <c r="M1031" s="13" t="s">
        <v>226</v>
      </c>
      <c r="N1031" s="7" t="s">
        <v>3899</v>
      </c>
      <c r="O1031" s="13" t="s">
        <v>2880</v>
      </c>
      <c r="P1031" s="115" t="s">
        <v>2881</v>
      </c>
      <c r="Q1031" s="8"/>
      <c r="R1031" s="2">
        <v>1</v>
      </c>
      <c r="S1031" s="9">
        <v>500</v>
      </c>
      <c r="T1031" s="10">
        <f t="shared" si="222"/>
        <v>250</v>
      </c>
      <c r="U1031" s="9">
        <v>5</v>
      </c>
      <c r="V1031" s="10">
        <f t="shared" si="223"/>
        <v>245</v>
      </c>
      <c r="W1031" s="4" t="s">
        <v>122</v>
      </c>
      <c r="X1031" s="2"/>
      <c r="Y1031" s="11">
        <v>2</v>
      </c>
      <c r="Z1031" s="12">
        <f t="shared" si="217"/>
        <v>1</v>
      </c>
      <c r="AA1031" s="4" t="s">
        <v>27</v>
      </c>
      <c r="AC1031" s="176">
        <f t="shared" si="213"/>
        <v>4.5454545454545452E-3</v>
      </c>
    </row>
    <row r="1032" spans="2:29">
      <c r="B1032" s="183">
        <f t="shared" si="218"/>
        <v>29</v>
      </c>
      <c r="C1032" s="107" t="str">
        <f t="shared" si="219"/>
        <v>ATK</v>
      </c>
      <c r="D1032" s="2" t="s">
        <v>2893</v>
      </c>
      <c r="E1032" s="3">
        <v>44027</v>
      </c>
      <c r="F1032" s="3">
        <v>44028</v>
      </c>
      <c r="G1032" s="108">
        <f t="shared" si="220"/>
        <v>7</v>
      </c>
      <c r="H1032" s="108" t="str">
        <f t="shared" si="221"/>
        <v>완료</v>
      </c>
      <c r="I1032" s="112" t="s">
        <v>218</v>
      </c>
      <c r="J1032" s="4" t="s">
        <v>121</v>
      </c>
      <c r="K1032" s="5" t="s">
        <v>229</v>
      </c>
      <c r="L1032" s="6" t="str">
        <f t="shared" si="216"/>
        <v>5T2</v>
      </c>
      <c r="M1032" s="13" t="s">
        <v>2894</v>
      </c>
      <c r="N1032" s="7" t="s">
        <v>3900</v>
      </c>
      <c r="O1032" s="13" t="s">
        <v>2895</v>
      </c>
      <c r="P1032" s="115" t="s">
        <v>2896</v>
      </c>
      <c r="Q1032" s="8"/>
      <c r="R1032" s="2">
        <v>1</v>
      </c>
      <c r="S1032" s="9">
        <v>1200</v>
      </c>
      <c r="T1032" s="10">
        <f t="shared" si="215"/>
        <v>600</v>
      </c>
      <c r="U1032" s="9">
        <v>5</v>
      </c>
      <c r="V1032" s="10">
        <f t="shared" si="214"/>
        <v>595</v>
      </c>
      <c r="W1032" s="4" t="s">
        <v>122</v>
      </c>
      <c r="X1032" s="2"/>
      <c r="Y1032" s="11">
        <v>4</v>
      </c>
      <c r="Z1032" s="12">
        <f t="shared" si="217"/>
        <v>1</v>
      </c>
      <c r="AA1032" s="4" t="s">
        <v>259</v>
      </c>
      <c r="AC1032" s="176">
        <f t="shared" si="213"/>
        <v>4.5454545454545452E-3</v>
      </c>
    </row>
    <row r="1033" spans="2:29">
      <c r="B1033" s="183">
        <f t="shared" si="218"/>
        <v>29</v>
      </c>
      <c r="C1033" s="107" t="str">
        <f t="shared" si="219"/>
        <v>ATK</v>
      </c>
      <c r="D1033" s="2" t="s">
        <v>2897</v>
      </c>
      <c r="E1033" s="3">
        <v>44028</v>
      </c>
      <c r="F1033" s="3">
        <v>44028</v>
      </c>
      <c r="G1033" s="108">
        <f t="shared" si="220"/>
        <v>7</v>
      </c>
      <c r="H1033" s="108" t="str">
        <f t="shared" si="221"/>
        <v>완료</v>
      </c>
      <c r="I1033" s="112" t="s">
        <v>218</v>
      </c>
      <c r="J1033" s="4" t="s">
        <v>121</v>
      </c>
      <c r="K1033" s="5" t="s">
        <v>229</v>
      </c>
      <c r="L1033" s="6" t="str">
        <f t="shared" si="216"/>
        <v>5T2</v>
      </c>
      <c r="M1033" s="13" t="s">
        <v>2858</v>
      </c>
      <c r="N1033" s="7" t="s">
        <v>3900</v>
      </c>
      <c r="O1033" s="13" t="s">
        <v>561</v>
      </c>
      <c r="P1033" s="115" t="s">
        <v>736</v>
      </c>
      <c r="Q1033" s="8"/>
      <c r="R1033" s="2">
        <v>1</v>
      </c>
      <c r="S1033" s="9">
        <v>1200</v>
      </c>
      <c r="T1033" s="10">
        <f t="shared" ref="T1033:T1034" si="224">(S1033*50)/100*R1033</f>
        <v>600</v>
      </c>
      <c r="U1033" s="9">
        <v>5</v>
      </c>
      <c r="V1033" s="10">
        <f t="shared" ref="V1033:V1034" si="225">T1033-U1033</f>
        <v>595</v>
      </c>
      <c r="W1033" s="4" t="s">
        <v>122</v>
      </c>
      <c r="X1033" s="2"/>
      <c r="Y1033" s="11">
        <v>2</v>
      </c>
      <c r="Z1033" s="12">
        <f t="shared" si="217"/>
        <v>0</v>
      </c>
      <c r="AA1033" s="4" t="s">
        <v>2898</v>
      </c>
      <c r="AC1033" s="176">
        <f t="shared" si="213"/>
        <v>4.5454545454545452E-3</v>
      </c>
    </row>
    <row r="1034" spans="2:29">
      <c r="B1034" s="183">
        <f t="shared" si="218"/>
        <v>29</v>
      </c>
      <c r="C1034" s="107" t="str">
        <f t="shared" si="219"/>
        <v>ATK</v>
      </c>
      <c r="D1034" s="2" t="s">
        <v>255</v>
      </c>
      <c r="E1034" s="3">
        <v>44028</v>
      </c>
      <c r="F1034" s="3">
        <v>44028</v>
      </c>
      <c r="G1034" s="108">
        <f t="shared" si="220"/>
        <v>7</v>
      </c>
      <c r="H1034" s="108" t="str">
        <f t="shared" si="221"/>
        <v>완료</v>
      </c>
      <c r="I1034" s="112" t="s">
        <v>218</v>
      </c>
      <c r="J1034" s="4" t="s">
        <v>808</v>
      </c>
      <c r="K1034" s="5" t="s">
        <v>833</v>
      </c>
      <c r="L1034" s="6" t="str">
        <f t="shared" si="216"/>
        <v>1T3</v>
      </c>
      <c r="M1034" s="13" t="s">
        <v>256</v>
      </c>
      <c r="N1034" s="7" t="s">
        <v>3529</v>
      </c>
      <c r="O1034" s="13" t="s">
        <v>482</v>
      </c>
      <c r="P1034" s="115" t="s">
        <v>953</v>
      </c>
      <c r="Q1034" s="8"/>
      <c r="R1034" s="2">
        <v>1</v>
      </c>
      <c r="S1034" s="9">
        <v>1600</v>
      </c>
      <c r="T1034" s="10">
        <f t="shared" si="224"/>
        <v>800</v>
      </c>
      <c r="U1034" s="9">
        <v>20</v>
      </c>
      <c r="V1034" s="10">
        <f t="shared" si="225"/>
        <v>780</v>
      </c>
      <c r="W1034" s="4" t="s">
        <v>122</v>
      </c>
      <c r="X1034" s="2"/>
      <c r="Y1034" s="11">
        <v>2</v>
      </c>
      <c r="Z1034" s="12">
        <f t="shared" si="217"/>
        <v>0</v>
      </c>
      <c r="AA1034" s="4" t="s">
        <v>27</v>
      </c>
      <c r="AC1034" s="176">
        <f t="shared" si="213"/>
        <v>1.8181818181818181E-2</v>
      </c>
    </row>
    <row r="1035" spans="2:29">
      <c r="B1035" s="183">
        <f t="shared" si="218"/>
        <v>30</v>
      </c>
      <c r="C1035" s="107" t="str">
        <f t="shared" si="219"/>
        <v>ATK</v>
      </c>
      <c r="D1035" s="2" t="s">
        <v>255</v>
      </c>
      <c r="E1035" s="3">
        <v>44028</v>
      </c>
      <c r="F1035" s="3">
        <v>44032</v>
      </c>
      <c r="G1035" s="108">
        <f t="shared" si="220"/>
        <v>7</v>
      </c>
      <c r="H1035" s="108" t="str">
        <f t="shared" si="221"/>
        <v>완료</v>
      </c>
      <c r="I1035" s="112" t="s">
        <v>218</v>
      </c>
      <c r="J1035" s="4" t="s">
        <v>808</v>
      </c>
      <c r="K1035" s="5" t="s">
        <v>833</v>
      </c>
      <c r="L1035" s="6" t="str">
        <f t="shared" si="216"/>
        <v>1T3</v>
      </c>
      <c r="M1035" s="13" t="s">
        <v>256</v>
      </c>
      <c r="N1035" s="7" t="s">
        <v>3529</v>
      </c>
      <c r="O1035" s="13" t="s">
        <v>482</v>
      </c>
      <c r="P1035" s="115" t="s">
        <v>953</v>
      </c>
      <c r="Q1035" s="8"/>
      <c r="R1035" s="2">
        <v>1</v>
      </c>
      <c r="S1035" s="9">
        <v>1600</v>
      </c>
      <c r="T1035" s="10">
        <f t="shared" si="215"/>
        <v>800</v>
      </c>
      <c r="U1035" s="9">
        <v>50</v>
      </c>
      <c r="V1035" s="10">
        <f t="shared" si="214"/>
        <v>750</v>
      </c>
      <c r="W1035" s="4" t="s">
        <v>122</v>
      </c>
      <c r="X1035" s="2"/>
      <c r="Y1035" s="11">
        <v>3</v>
      </c>
      <c r="Z1035" s="12">
        <f t="shared" si="217"/>
        <v>4</v>
      </c>
      <c r="AA1035" s="4" t="s">
        <v>27</v>
      </c>
      <c r="AC1035" s="176">
        <f t="shared" si="213"/>
        <v>4.5454545454545456E-2</v>
      </c>
    </row>
    <row r="1036" spans="2:29">
      <c r="B1036" s="183">
        <f t="shared" si="218"/>
        <v>29</v>
      </c>
      <c r="C1036" s="107" t="str">
        <f t="shared" si="219"/>
        <v>ATK</v>
      </c>
      <c r="D1036" s="2" t="s">
        <v>2899</v>
      </c>
      <c r="E1036" s="3">
        <v>44028</v>
      </c>
      <c r="F1036" s="3">
        <v>44028</v>
      </c>
      <c r="G1036" s="108">
        <f t="shared" si="220"/>
        <v>7</v>
      </c>
      <c r="H1036" s="108" t="str">
        <f t="shared" si="221"/>
        <v>완료</v>
      </c>
      <c r="I1036" s="112" t="s">
        <v>218</v>
      </c>
      <c r="J1036" s="4" t="s">
        <v>2900</v>
      </c>
      <c r="K1036" s="5" t="s">
        <v>2901</v>
      </c>
      <c r="L1036" s="6" t="str">
        <f t="shared" si="216"/>
        <v>EE1</v>
      </c>
      <c r="M1036" s="13" t="s">
        <v>216</v>
      </c>
      <c r="N1036" s="7" t="s">
        <v>140</v>
      </c>
      <c r="O1036" s="13" t="s">
        <v>2902</v>
      </c>
      <c r="P1036" s="115" t="s">
        <v>2903</v>
      </c>
      <c r="Q1036" s="8"/>
      <c r="R1036" s="2">
        <v>1</v>
      </c>
      <c r="S1036" s="9">
        <v>100</v>
      </c>
      <c r="T1036" s="10">
        <f t="shared" si="215"/>
        <v>50</v>
      </c>
      <c r="U1036" s="9">
        <v>1</v>
      </c>
      <c r="V1036" s="10">
        <f t="shared" si="214"/>
        <v>49</v>
      </c>
      <c r="W1036" s="4" t="s">
        <v>122</v>
      </c>
      <c r="X1036" s="2"/>
      <c r="Y1036" s="11">
        <v>2</v>
      </c>
      <c r="Z1036" s="12">
        <f t="shared" si="217"/>
        <v>0</v>
      </c>
      <c r="AA1036" s="4" t="s">
        <v>2904</v>
      </c>
      <c r="AC1036" s="176">
        <f t="shared" si="213"/>
        <v>9.0909090909090909E-4</v>
      </c>
    </row>
    <row r="1037" spans="2:29" ht="24">
      <c r="B1037" s="183">
        <f t="shared" si="218"/>
        <v>29</v>
      </c>
      <c r="C1037" s="107" t="str">
        <f t="shared" si="219"/>
        <v>ATK</v>
      </c>
      <c r="D1037" s="2" t="s">
        <v>2905</v>
      </c>
      <c r="E1037" s="3">
        <v>44028</v>
      </c>
      <c r="F1037" s="3">
        <v>44028</v>
      </c>
      <c r="G1037" s="108">
        <f t="shared" si="220"/>
        <v>7</v>
      </c>
      <c r="H1037" s="108" t="str">
        <f t="shared" si="221"/>
        <v>완료</v>
      </c>
      <c r="I1037" s="112" t="s">
        <v>218</v>
      </c>
      <c r="J1037" s="4" t="s">
        <v>115</v>
      </c>
      <c r="K1037" s="5" t="s">
        <v>138</v>
      </c>
      <c r="L1037" s="6" t="str">
        <f t="shared" si="216"/>
        <v>EE1</v>
      </c>
      <c r="M1037" s="13" t="s">
        <v>226</v>
      </c>
      <c r="N1037" s="7" t="s">
        <v>3901</v>
      </c>
      <c r="O1037" s="13" t="s">
        <v>2928</v>
      </c>
      <c r="P1037" s="115" t="s">
        <v>2906</v>
      </c>
      <c r="Q1037" s="8"/>
      <c r="R1037" s="2">
        <v>1</v>
      </c>
      <c r="S1037" s="9">
        <v>5000</v>
      </c>
      <c r="T1037" s="10">
        <f t="shared" si="215"/>
        <v>2500</v>
      </c>
      <c r="U1037" s="9">
        <v>0</v>
      </c>
      <c r="V1037" s="10">
        <f t="shared" si="214"/>
        <v>2500</v>
      </c>
      <c r="W1037" s="4" t="s">
        <v>122</v>
      </c>
      <c r="X1037" s="2"/>
      <c r="Y1037" s="11">
        <v>8</v>
      </c>
      <c r="Z1037" s="12">
        <f t="shared" si="217"/>
        <v>0</v>
      </c>
      <c r="AA1037" s="4" t="s">
        <v>212</v>
      </c>
      <c r="AC1037" s="176">
        <f t="shared" si="213"/>
        <v>0</v>
      </c>
    </row>
    <row r="1038" spans="2:29" ht="24">
      <c r="B1038" s="183">
        <f t="shared" si="218"/>
        <v>29</v>
      </c>
      <c r="C1038" s="107" t="str">
        <f t="shared" si="219"/>
        <v>ATK</v>
      </c>
      <c r="D1038" s="2" t="s">
        <v>2907</v>
      </c>
      <c r="E1038" s="3">
        <v>44027</v>
      </c>
      <c r="F1038" s="3">
        <v>44029</v>
      </c>
      <c r="G1038" s="108">
        <f t="shared" si="220"/>
        <v>7</v>
      </c>
      <c r="H1038" s="108" t="str">
        <f t="shared" si="221"/>
        <v>완료</v>
      </c>
      <c r="I1038" s="112" t="s">
        <v>218</v>
      </c>
      <c r="J1038" s="4" t="s">
        <v>132</v>
      </c>
      <c r="K1038" s="5" t="s">
        <v>133</v>
      </c>
      <c r="L1038" s="6" t="str">
        <f t="shared" si="216"/>
        <v>3T3</v>
      </c>
      <c r="M1038" s="13" t="s">
        <v>454</v>
      </c>
      <c r="N1038" s="7"/>
      <c r="O1038" s="13" t="s">
        <v>2908</v>
      </c>
      <c r="P1038" s="115" t="s">
        <v>2909</v>
      </c>
      <c r="Q1038" s="8"/>
      <c r="R1038" s="2">
        <v>1</v>
      </c>
      <c r="S1038" s="9">
        <v>400</v>
      </c>
      <c r="T1038" s="10">
        <f t="shared" si="215"/>
        <v>200</v>
      </c>
      <c r="U1038" s="9">
        <v>3</v>
      </c>
      <c r="V1038" s="10">
        <f t="shared" si="214"/>
        <v>197</v>
      </c>
      <c r="W1038" s="4" t="s">
        <v>122</v>
      </c>
      <c r="X1038" s="2"/>
      <c r="Y1038" s="11">
        <v>4</v>
      </c>
      <c r="Z1038" s="12">
        <f t="shared" si="217"/>
        <v>2</v>
      </c>
      <c r="AA1038" s="4" t="s">
        <v>120</v>
      </c>
      <c r="AC1038" s="176">
        <f t="shared" si="213"/>
        <v>2.7272727272727275E-3</v>
      </c>
    </row>
    <row r="1039" spans="2:29">
      <c r="B1039" s="183">
        <f t="shared" si="218"/>
        <v>33</v>
      </c>
      <c r="C1039" s="107" t="str">
        <f t="shared" si="219"/>
        <v>ATK</v>
      </c>
      <c r="D1039" s="2" t="s">
        <v>2944</v>
      </c>
      <c r="E1039" s="3">
        <v>44028</v>
      </c>
      <c r="F1039" s="3">
        <v>44054</v>
      </c>
      <c r="G1039" s="108">
        <f t="shared" si="220"/>
        <v>8</v>
      </c>
      <c r="H1039" s="108" t="str">
        <f t="shared" si="221"/>
        <v>수리불가</v>
      </c>
      <c r="I1039" s="112" t="s">
        <v>670</v>
      </c>
      <c r="J1039" s="4" t="s">
        <v>251</v>
      </c>
      <c r="K1039" s="5" t="s">
        <v>251</v>
      </c>
      <c r="L1039" s="6" t="str">
        <f t="shared" si="216"/>
        <v>Oth</v>
      </c>
      <c r="M1039" s="13" t="s">
        <v>2910</v>
      </c>
      <c r="N1039" s="7"/>
      <c r="O1039" s="13" t="s">
        <v>2911</v>
      </c>
      <c r="P1039" s="115" t="s">
        <v>1737</v>
      </c>
      <c r="Q1039" s="8"/>
      <c r="R1039" s="2">
        <v>1</v>
      </c>
      <c r="S1039" s="9">
        <v>2500</v>
      </c>
      <c r="T1039" s="10">
        <f t="shared" si="215"/>
        <v>1250</v>
      </c>
      <c r="U1039" s="9">
        <v>0</v>
      </c>
      <c r="V1039" s="10">
        <f t="shared" si="214"/>
        <v>1250</v>
      </c>
      <c r="W1039" s="4" t="s">
        <v>123</v>
      </c>
      <c r="X1039" s="2" t="s">
        <v>2211</v>
      </c>
      <c r="Y1039" s="11">
        <v>4</v>
      </c>
      <c r="Z1039" s="12">
        <f t="shared" si="217"/>
        <v>26</v>
      </c>
      <c r="AA1039" s="4" t="s">
        <v>117</v>
      </c>
      <c r="AC1039" s="176">
        <f t="shared" si="213"/>
        <v>0</v>
      </c>
    </row>
    <row r="1040" spans="2:29">
      <c r="B1040" s="183">
        <f t="shared" si="218"/>
        <v>29</v>
      </c>
      <c r="C1040" s="107" t="str">
        <f t="shared" si="219"/>
        <v>ATK</v>
      </c>
      <c r="D1040" s="2" t="s">
        <v>312</v>
      </c>
      <c r="E1040" s="3">
        <v>44029</v>
      </c>
      <c r="F1040" s="3">
        <v>44029</v>
      </c>
      <c r="G1040" s="108">
        <f t="shared" si="220"/>
        <v>7</v>
      </c>
      <c r="H1040" s="108" t="str">
        <f t="shared" si="221"/>
        <v>완료</v>
      </c>
      <c r="I1040" s="112" t="s">
        <v>218</v>
      </c>
      <c r="J1040" s="4" t="s">
        <v>118</v>
      </c>
      <c r="K1040" s="5" t="s">
        <v>137</v>
      </c>
      <c r="L1040" s="6" t="str">
        <f t="shared" si="216"/>
        <v>2T2</v>
      </c>
      <c r="M1040" s="13" t="s">
        <v>256</v>
      </c>
      <c r="N1040" s="7" t="s">
        <v>3529</v>
      </c>
      <c r="O1040" s="13" t="s">
        <v>482</v>
      </c>
      <c r="P1040" s="115" t="s">
        <v>944</v>
      </c>
      <c r="Q1040" s="8"/>
      <c r="R1040" s="2">
        <v>1</v>
      </c>
      <c r="S1040" s="9">
        <v>1600</v>
      </c>
      <c r="T1040" s="10">
        <f t="shared" si="215"/>
        <v>800</v>
      </c>
      <c r="U1040" s="9">
        <v>5</v>
      </c>
      <c r="V1040" s="10">
        <f t="shared" si="214"/>
        <v>795</v>
      </c>
      <c r="W1040" s="4" t="s">
        <v>122</v>
      </c>
      <c r="X1040" s="2"/>
      <c r="Y1040" s="11">
        <v>2</v>
      </c>
      <c r="Z1040" s="12">
        <f t="shared" si="217"/>
        <v>0</v>
      </c>
      <c r="AA1040" s="4" t="s">
        <v>117</v>
      </c>
      <c r="AC1040" s="176">
        <f t="shared" si="213"/>
        <v>4.5454545454545452E-3</v>
      </c>
    </row>
    <row r="1041" spans="2:29">
      <c r="B1041" s="183">
        <f t="shared" si="218"/>
        <v>29</v>
      </c>
      <c r="C1041" s="107" t="str">
        <f t="shared" si="219"/>
        <v>ATK</v>
      </c>
      <c r="D1041" s="2" t="s">
        <v>2912</v>
      </c>
      <c r="E1041" s="3">
        <v>44028</v>
      </c>
      <c r="F1041" s="3">
        <v>44028</v>
      </c>
      <c r="G1041" s="108">
        <f t="shared" si="220"/>
        <v>7</v>
      </c>
      <c r="H1041" s="108" t="str">
        <f t="shared" si="221"/>
        <v>완료</v>
      </c>
      <c r="I1041" s="112" t="s">
        <v>2913</v>
      </c>
      <c r="J1041" s="4" t="s">
        <v>2914</v>
      </c>
      <c r="K1041" s="5" t="s">
        <v>2915</v>
      </c>
      <c r="L1041" s="6" t="str">
        <f t="shared" si="216"/>
        <v>QA</v>
      </c>
      <c r="M1041" s="13" t="s">
        <v>2916</v>
      </c>
      <c r="N1041" s="7" t="s">
        <v>3902</v>
      </c>
      <c r="O1041" s="13" t="s">
        <v>2916</v>
      </c>
      <c r="P1041" s="115" t="s">
        <v>2917</v>
      </c>
      <c r="Q1041" s="8"/>
      <c r="R1041" s="2">
        <v>1</v>
      </c>
      <c r="S1041" s="9">
        <v>100</v>
      </c>
      <c r="T1041" s="10">
        <f t="shared" si="215"/>
        <v>50</v>
      </c>
      <c r="U1041" s="9">
        <v>5</v>
      </c>
      <c r="V1041" s="10">
        <f t="shared" si="214"/>
        <v>45</v>
      </c>
      <c r="W1041" s="4" t="s">
        <v>2918</v>
      </c>
      <c r="X1041" s="2"/>
      <c r="Y1041" s="11">
        <v>1</v>
      </c>
      <c r="Z1041" s="12">
        <f t="shared" si="217"/>
        <v>0</v>
      </c>
      <c r="AA1041" s="4" t="s">
        <v>2919</v>
      </c>
      <c r="AC1041" s="176">
        <f t="shared" si="213"/>
        <v>4.5454545454545452E-3</v>
      </c>
    </row>
    <row r="1042" spans="2:29">
      <c r="B1042" s="183">
        <f t="shared" si="218"/>
        <v>29</v>
      </c>
      <c r="C1042" s="107" t="str">
        <f t="shared" si="219"/>
        <v>ATK</v>
      </c>
      <c r="D1042" s="2" t="s">
        <v>2912</v>
      </c>
      <c r="E1042" s="3">
        <v>44028</v>
      </c>
      <c r="F1042" s="3">
        <v>44028</v>
      </c>
      <c r="G1042" s="108">
        <f t="shared" si="220"/>
        <v>7</v>
      </c>
      <c r="H1042" s="108" t="str">
        <f t="shared" si="221"/>
        <v>완료</v>
      </c>
      <c r="I1042" s="112" t="s">
        <v>2913</v>
      </c>
      <c r="J1042" s="4" t="s">
        <v>2914</v>
      </c>
      <c r="K1042" s="5" t="s">
        <v>2915</v>
      </c>
      <c r="L1042" s="6" t="str">
        <f t="shared" si="216"/>
        <v>QA</v>
      </c>
      <c r="M1042" s="13" t="s">
        <v>2916</v>
      </c>
      <c r="N1042" s="7" t="s">
        <v>3902</v>
      </c>
      <c r="O1042" s="13" t="s">
        <v>2916</v>
      </c>
      <c r="P1042" s="115" t="s">
        <v>2917</v>
      </c>
      <c r="Q1042" s="8"/>
      <c r="R1042" s="2">
        <v>1</v>
      </c>
      <c r="S1042" s="9">
        <v>100</v>
      </c>
      <c r="T1042" s="10">
        <f t="shared" ref="T1042" si="226">(S1042*50)/100*R1042</f>
        <v>50</v>
      </c>
      <c r="U1042" s="9">
        <v>5</v>
      </c>
      <c r="V1042" s="10">
        <f t="shared" ref="V1042" si="227">T1042-U1042</f>
        <v>45</v>
      </c>
      <c r="W1042" s="4" t="s">
        <v>2918</v>
      </c>
      <c r="X1042" s="2"/>
      <c r="Y1042" s="11">
        <v>1</v>
      </c>
      <c r="Z1042" s="12">
        <f t="shared" si="217"/>
        <v>0</v>
      </c>
      <c r="AA1042" s="4" t="s">
        <v>2920</v>
      </c>
      <c r="AC1042" s="176">
        <f t="shared" si="213"/>
        <v>4.5454545454545452E-3</v>
      </c>
    </row>
    <row r="1043" spans="2:29">
      <c r="B1043" s="183">
        <f t="shared" si="218"/>
        <v>29</v>
      </c>
      <c r="C1043" s="107" t="str">
        <f t="shared" si="219"/>
        <v>ATK</v>
      </c>
      <c r="D1043" s="2" t="s">
        <v>2922</v>
      </c>
      <c r="E1043" s="3">
        <v>44029</v>
      </c>
      <c r="F1043" s="3">
        <v>44029</v>
      </c>
      <c r="G1043" s="108">
        <f t="shared" si="220"/>
        <v>7</v>
      </c>
      <c r="H1043" s="108" t="str">
        <f t="shared" si="221"/>
        <v>완료</v>
      </c>
      <c r="I1043" s="112" t="s">
        <v>2913</v>
      </c>
      <c r="J1043" s="4" t="s">
        <v>234</v>
      </c>
      <c r="K1043" s="5" t="s">
        <v>177</v>
      </c>
      <c r="L1043" s="6" t="str">
        <f t="shared" si="216"/>
        <v>Bum</v>
      </c>
      <c r="M1043" s="13" t="s">
        <v>2916</v>
      </c>
      <c r="N1043" s="7" t="s">
        <v>3903</v>
      </c>
      <c r="O1043" s="13" t="s">
        <v>2916</v>
      </c>
      <c r="P1043" s="115" t="s">
        <v>2924</v>
      </c>
      <c r="Q1043" s="8"/>
      <c r="R1043" s="2">
        <v>1</v>
      </c>
      <c r="S1043" s="9">
        <v>5000</v>
      </c>
      <c r="T1043" s="10">
        <f t="shared" si="215"/>
        <v>2500</v>
      </c>
      <c r="U1043" s="9">
        <v>0</v>
      </c>
      <c r="V1043" s="10">
        <f t="shared" si="214"/>
        <v>2500</v>
      </c>
      <c r="W1043" s="4" t="s">
        <v>2926</v>
      </c>
      <c r="X1043" s="2"/>
      <c r="Y1043" s="11">
        <v>2</v>
      </c>
      <c r="Z1043" s="12">
        <f t="shared" si="217"/>
        <v>0</v>
      </c>
      <c r="AA1043" s="4" t="s">
        <v>2921</v>
      </c>
      <c r="AC1043" s="176">
        <f t="shared" si="213"/>
        <v>0</v>
      </c>
    </row>
    <row r="1044" spans="2:29">
      <c r="B1044" s="183">
        <f t="shared" si="218"/>
        <v>29</v>
      </c>
      <c r="C1044" s="107" t="str">
        <f t="shared" si="219"/>
        <v>ATK</v>
      </c>
      <c r="D1044" s="2" t="s">
        <v>2922</v>
      </c>
      <c r="E1044" s="3">
        <v>44029</v>
      </c>
      <c r="F1044" s="3">
        <v>44029</v>
      </c>
      <c r="G1044" s="108">
        <f t="shared" si="220"/>
        <v>7</v>
      </c>
      <c r="H1044" s="108" t="str">
        <f t="shared" si="221"/>
        <v>완료</v>
      </c>
      <c r="I1044" s="112" t="s">
        <v>2913</v>
      </c>
      <c r="J1044" s="4" t="s">
        <v>234</v>
      </c>
      <c r="K1044" s="5" t="s">
        <v>177</v>
      </c>
      <c r="L1044" s="6" t="str">
        <f t="shared" si="216"/>
        <v>Bum</v>
      </c>
      <c r="M1044" s="13" t="s">
        <v>2923</v>
      </c>
      <c r="N1044" s="7" t="s">
        <v>3903</v>
      </c>
      <c r="O1044" s="13" t="s">
        <v>2923</v>
      </c>
      <c r="P1044" s="115" t="s">
        <v>2925</v>
      </c>
      <c r="Q1044" s="8"/>
      <c r="R1044" s="2">
        <v>1</v>
      </c>
      <c r="S1044" s="9">
        <v>5000</v>
      </c>
      <c r="T1044" s="10">
        <f t="shared" si="215"/>
        <v>2500</v>
      </c>
      <c r="U1044" s="9">
        <v>0</v>
      </c>
      <c r="V1044" s="10">
        <f t="shared" si="214"/>
        <v>2500</v>
      </c>
      <c r="W1044" s="4" t="s">
        <v>2926</v>
      </c>
      <c r="X1044" s="2"/>
      <c r="Y1044" s="11">
        <v>2</v>
      </c>
      <c r="Z1044" s="12">
        <f t="shared" si="217"/>
        <v>0</v>
      </c>
      <c r="AA1044" s="4" t="s">
        <v>2919</v>
      </c>
      <c r="AC1044" s="176">
        <f t="shared" si="213"/>
        <v>0</v>
      </c>
    </row>
    <row r="1045" spans="2:29">
      <c r="B1045" s="183">
        <f t="shared" si="218"/>
        <v>29</v>
      </c>
      <c r="C1045" s="107" t="str">
        <f t="shared" si="219"/>
        <v>ATK</v>
      </c>
      <c r="D1045" s="2" t="s">
        <v>2927</v>
      </c>
      <c r="E1045" s="3">
        <v>44029</v>
      </c>
      <c r="F1045" s="3">
        <v>44029</v>
      </c>
      <c r="G1045" s="108">
        <f t="shared" si="220"/>
        <v>7</v>
      </c>
      <c r="H1045" s="108" t="str">
        <f t="shared" si="221"/>
        <v>완료</v>
      </c>
      <c r="I1045" s="112" t="s">
        <v>218</v>
      </c>
      <c r="J1045" s="4" t="s">
        <v>132</v>
      </c>
      <c r="K1045" s="5" t="s">
        <v>133</v>
      </c>
      <c r="L1045" s="6" t="str">
        <f t="shared" si="216"/>
        <v>3T3</v>
      </c>
      <c r="M1045" s="13" t="s">
        <v>454</v>
      </c>
      <c r="N1045" s="7" t="s">
        <v>3861</v>
      </c>
      <c r="O1045" s="13" t="s">
        <v>286</v>
      </c>
      <c r="P1045" s="115"/>
      <c r="Q1045" s="8"/>
      <c r="R1045" s="2">
        <v>3</v>
      </c>
      <c r="S1045" s="9">
        <v>400</v>
      </c>
      <c r="T1045" s="10">
        <f t="shared" si="215"/>
        <v>600</v>
      </c>
      <c r="U1045" s="9">
        <v>6</v>
      </c>
      <c r="V1045" s="10">
        <f t="shared" si="214"/>
        <v>594</v>
      </c>
      <c r="W1045" s="4" t="s">
        <v>122</v>
      </c>
      <c r="X1045" s="2"/>
      <c r="Y1045" s="11">
        <v>3</v>
      </c>
      <c r="Z1045" s="12">
        <f t="shared" si="217"/>
        <v>0</v>
      </c>
      <c r="AA1045" s="4" t="s">
        <v>117</v>
      </c>
      <c r="AC1045" s="176">
        <f t="shared" si="213"/>
        <v>5.454545454545455E-3</v>
      </c>
    </row>
    <row r="1046" spans="2:29">
      <c r="B1046" s="183">
        <f t="shared" si="218"/>
        <v>29</v>
      </c>
      <c r="C1046" s="107" t="str">
        <f t="shared" si="219"/>
        <v>ATK</v>
      </c>
      <c r="D1046" s="2" t="s">
        <v>2929</v>
      </c>
      <c r="E1046" s="3">
        <v>44029</v>
      </c>
      <c r="F1046" s="3">
        <v>44029</v>
      </c>
      <c r="G1046" s="108">
        <f t="shared" si="220"/>
        <v>7</v>
      </c>
      <c r="H1046" s="108" t="str">
        <f t="shared" si="221"/>
        <v>완료</v>
      </c>
      <c r="I1046" s="112" t="s">
        <v>218</v>
      </c>
      <c r="J1046" s="4" t="s">
        <v>115</v>
      </c>
      <c r="K1046" s="5" t="s">
        <v>138</v>
      </c>
      <c r="L1046" s="6" t="str">
        <f t="shared" si="216"/>
        <v>EE1</v>
      </c>
      <c r="M1046" s="13" t="s">
        <v>226</v>
      </c>
      <c r="N1046" s="7" t="s">
        <v>3901</v>
      </c>
      <c r="O1046" s="13" t="s">
        <v>2930</v>
      </c>
      <c r="P1046" s="115" t="s">
        <v>2931</v>
      </c>
      <c r="Q1046" s="8"/>
      <c r="R1046" s="2">
        <v>1</v>
      </c>
      <c r="S1046" s="9">
        <v>2000</v>
      </c>
      <c r="T1046" s="10">
        <f t="shared" si="215"/>
        <v>1000</v>
      </c>
      <c r="U1046" s="9">
        <v>100</v>
      </c>
      <c r="V1046" s="10">
        <f t="shared" si="214"/>
        <v>900</v>
      </c>
      <c r="W1046" s="4" t="s">
        <v>122</v>
      </c>
      <c r="X1046" s="2"/>
      <c r="Y1046" s="11">
        <v>4</v>
      </c>
      <c r="Z1046" s="12">
        <f t="shared" si="217"/>
        <v>0</v>
      </c>
      <c r="AA1046" s="4" t="s">
        <v>212</v>
      </c>
      <c r="AC1046" s="176">
        <f t="shared" si="213"/>
        <v>9.0909090909090912E-2</v>
      </c>
    </row>
    <row r="1047" spans="2:29">
      <c r="B1047" s="183">
        <f t="shared" si="218"/>
        <v>30</v>
      </c>
      <c r="C1047" s="107" t="str">
        <f t="shared" si="219"/>
        <v>ATK</v>
      </c>
      <c r="D1047" s="2" t="s">
        <v>2932</v>
      </c>
      <c r="E1047" s="3">
        <v>44029</v>
      </c>
      <c r="F1047" s="3">
        <v>44033</v>
      </c>
      <c r="G1047" s="108">
        <f t="shared" si="220"/>
        <v>7</v>
      </c>
      <c r="H1047" s="108" t="str">
        <f t="shared" si="221"/>
        <v>완료</v>
      </c>
      <c r="I1047" s="112" t="s">
        <v>218</v>
      </c>
      <c r="J1047" s="4" t="s">
        <v>115</v>
      </c>
      <c r="K1047" s="5" t="s">
        <v>138</v>
      </c>
      <c r="L1047" s="6" t="str">
        <f t="shared" si="216"/>
        <v>EE1</v>
      </c>
      <c r="M1047" s="13" t="s">
        <v>226</v>
      </c>
      <c r="N1047" s="7" t="s">
        <v>3904</v>
      </c>
      <c r="O1047" s="13" t="s">
        <v>2933</v>
      </c>
      <c r="P1047" s="115"/>
      <c r="Q1047" s="8"/>
      <c r="R1047" s="2">
        <v>1</v>
      </c>
      <c r="S1047" s="9">
        <v>4500</v>
      </c>
      <c r="T1047" s="10">
        <f t="shared" si="215"/>
        <v>2250</v>
      </c>
      <c r="U1047" s="9">
        <v>20</v>
      </c>
      <c r="V1047" s="10">
        <f t="shared" si="214"/>
        <v>2230</v>
      </c>
      <c r="W1047" s="4" t="s">
        <v>122</v>
      </c>
      <c r="X1047" s="2"/>
      <c r="Y1047" s="11">
        <v>1</v>
      </c>
      <c r="Z1047" s="12">
        <f t="shared" si="217"/>
        <v>4</v>
      </c>
      <c r="AA1047" s="4" t="s">
        <v>117</v>
      </c>
      <c r="AC1047" s="176">
        <f t="shared" si="213"/>
        <v>1.8181818181818181E-2</v>
      </c>
    </row>
    <row r="1048" spans="2:29">
      <c r="B1048" s="183">
        <f t="shared" si="218"/>
        <v>30</v>
      </c>
      <c r="C1048" s="107" t="str">
        <f t="shared" si="219"/>
        <v>ATK</v>
      </c>
      <c r="D1048" s="2" t="s">
        <v>2934</v>
      </c>
      <c r="E1048" s="3">
        <v>44032</v>
      </c>
      <c r="F1048" s="3">
        <v>44032</v>
      </c>
      <c r="G1048" s="108">
        <f t="shared" si="220"/>
        <v>7</v>
      </c>
      <c r="H1048" s="108" t="str">
        <f t="shared" si="221"/>
        <v>완료</v>
      </c>
      <c r="I1048" s="112" t="s">
        <v>264</v>
      </c>
      <c r="J1048" s="4" t="s">
        <v>132</v>
      </c>
      <c r="K1048" s="5" t="s">
        <v>322</v>
      </c>
      <c r="L1048" s="6" t="str">
        <f t="shared" si="216"/>
        <v>3T1</v>
      </c>
      <c r="M1048" s="13" t="s">
        <v>2935</v>
      </c>
      <c r="N1048" s="7" t="s">
        <v>3519</v>
      </c>
      <c r="O1048" s="13" t="s">
        <v>270</v>
      </c>
      <c r="P1048" s="115" t="s">
        <v>2936</v>
      </c>
      <c r="Q1048" s="8" t="s">
        <v>2943</v>
      </c>
      <c r="R1048" s="2">
        <v>1</v>
      </c>
      <c r="S1048" s="9">
        <v>910</v>
      </c>
      <c r="T1048" s="10">
        <f t="shared" si="215"/>
        <v>455</v>
      </c>
      <c r="U1048" s="9">
        <v>25</v>
      </c>
      <c r="V1048" s="10">
        <f t="shared" si="214"/>
        <v>430</v>
      </c>
      <c r="W1048" s="4" t="s">
        <v>2937</v>
      </c>
      <c r="X1048" s="2"/>
      <c r="Y1048" s="11">
        <v>2</v>
      </c>
      <c r="Z1048" s="12">
        <f t="shared" si="217"/>
        <v>0</v>
      </c>
      <c r="AA1048" s="4" t="s">
        <v>2938</v>
      </c>
      <c r="AC1048" s="176">
        <f t="shared" si="213"/>
        <v>2.2727272727272728E-2</v>
      </c>
    </row>
    <row r="1049" spans="2:29">
      <c r="B1049" s="183">
        <f t="shared" si="218"/>
        <v>30</v>
      </c>
      <c r="C1049" s="107" t="str">
        <f t="shared" si="219"/>
        <v>ATK</v>
      </c>
      <c r="D1049" s="2" t="s">
        <v>1306</v>
      </c>
      <c r="E1049" s="3">
        <v>44032</v>
      </c>
      <c r="F1049" s="3">
        <v>44034</v>
      </c>
      <c r="G1049" s="108">
        <f t="shared" si="220"/>
        <v>7</v>
      </c>
      <c r="H1049" s="108" t="str">
        <f t="shared" si="221"/>
        <v>Other</v>
      </c>
      <c r="I1049" s="112" t="s">
        <v>660</v>
      </c>
      <c r="J1049" s="4" t="s">
        <v>804</v>
      </c>
      <c r="K1049" s="5" t="s">
        <v>1091</v>
      </c>
      <c r="L1049" s="6" t="str">
        <f t="shared" si="216"/>
        <v>5T2</v>
      </c>
      <c r="M1049" s="13" t="s">
        <v>207</v>
      </c>
      <c r="N1049" s="7" t="s">
        <v>3895</v>
      </c>
      <c r="O1049" s="13" t="s">
        <v>207</v>
      </c>
      <c r="P1049" s="115" t="s">
        <v>2939</v>
      </c>
      <c r="Q1049" s="8"/>
      <c r="R1049" s="2">
        <v>1</v>
      </c>
      <c r="S1049" s="9">
        <v>700</v>
      </c>
      <c r="T1049" s="10">
        <f t="shared" ref="T1049" si="228">(S1049*50)/100*R1049</f>
        <v>350</v>
      </c>
      <c r="U1049" s="9">
        <v>0</v>
      </c>
      <c r="V1049" s="10">
        <f t="shared" ref="V1049" si="229">T1049-U1049</f>
        <v>350</v>
      </c>
      <c r="W1049" s="4" t="s">
        <v>249</v>
      </c>
      <c r="X1049" s="2"/>
      <c r="Y1049" s="11">
        <v>2</v>
      </c>
      <c r="Z1049" s="12">
        <f t="shared" si="217"/>
        <v>2</v>
      </c>
      <c r="AA1049" s="4" t="s">
        <v>174</v>
      </c>
      <c r="AC1049" s="176">
        <f t="shared" si="213"/>
        <v>0</v>
      </c>
    </row>
    <row r="1050" spans="2:29">
      <c r="B1050" s="183">
        <f t="shared" si="218"/>
        <v>30</v>
      </c>
      <c r="C1050" s="107" t="str">
        <f t="shared" si="219"/>
        <v>ATK</v>
      </c>
      <c r="D1050" s="2" t="s">
        <v>2940</v>
      </c>
      <c r="E1050" s="3">
        <v>44029</v>
      </c>
      <c r="F1050" s="3">
        <v>44032</v>
      </c>
      <c r="G1050" s="108">
        <f t="shared" si="220"/>
        <v>7</v>
      </c>
      <c r="H1050" s="108" t="str">
        <f t="shared" si="221"/>
        <v>완료</v>
      </c>
      <c r="I1050" s="112" t="s">
        <v>218</v>
      </c>
      <c r="J1050" s="4" t="s">
        <v>132</v>
      </c>
      <c r="K1050" s="5" t="s">
        <v>143</v>
      </c>
      <c r="L1050" s="6" t="str">
        <f t="shared" si="216"/>
        <v>3T4</v>
      </c>
      <c r="M1050" s="13" t="s">
        <v>2941</v>
      </c>
      <c r="N1050" s="7" t="s">
        <v>3528</v>
      </c>
      <c r="O1050" s="13" t="s">
        <v>367</v>
      </c>
      <c r="P1050" s="115" t="s">
        <v>2942</v>
      </c>
      <c r="Q1050" s="8"/>
      <c r="R1050" s="2">
        <v>2</v>
      </c>
      <c r="S1050" s="9">
        <v>1500</v>
      </c>
      <c r="T1050" s="10">
        <f t="shared" si="215"/>
        <v>1500</v>
      </c>
      <c r="U1050" s="9">
        <v>50</v>
      </c>
      <c r="V1050" s="10">
        <f t="shared" si="214"/>
        <v>1450</v>
      </c>
      <c r="W1050" s="4" t="s">
        <v>122</v>
      </c>
      <c r="X1050" s="2"/>
      <c r="Y1050" s="11">
        <v>7</v>
      </c>
      <c r="Z1050" s="12">
        <f t="shared" si="217"/>
        <v>3</v>
      </c>
      <c r="AA1050" s="4" t="s">
        <v>259</v>
      </c>
      <c r="AC1050" s="176">
        <f t="shared" si="213"/>
        <v>4.5454545454545456E-2</v>
      </c>
    </row>
    <row r="1051" spans="2:29">
      <c r="B1051" s="183">
        <f t="shared" si="218"/>
        <v>30</v>
      </c>
      <c r="C1051" s="107" t="str">
        <f t="shared" si="219"/>
        <v>ATK</v>
      </c>
      <c r="D1051" s="2" t="s">
        <v>2945</v>
      </c>
      <c r="E1051" s="3">
        <v>44032</v>
      </c>
      <c r="F1051" s="3">
        <v>44032</v>
      </c>
      <c r="G1051" s="108">
        <f t="shared" si="220"/>
        <v>7</v>
      </c>
      <c r="H1051" s="108" t="str">
        <f t="shared" si="221"/>
        <v>Other</v>
      </c>
      <c r="I1051" s="112" t="s">
        <v>251</v>
      </c>
      <c r="J1051" s="4" t="s">
        <v>499</v>
      </c>
      <c r="K1051" s="4" t="s">
        <v>499</v>
      </c>
      <c r="L1051" s="6" t="str">
        <f t="shared" si="216"/>
        <v>QA</v>
      </c>
      <c r="M1051" s="13" t="s">
        <v>2946</v>
      </c>
      <c r="N1051" s="7" t="s">
        <v>140</v>
      </c>
      <c r="O1051" s="13" t="s">
        <v>2947</v>
      </c>
      <c r="P1051" s="115" t="s">
        <v>2948</v>
      </c>
      <c r="Q1051" s="8"/>
      <c r="R1051" s="2">
        <v>1</v>
      </c>
      <c r="S1051" s="9">
        <v>0</v>
      </c>
      <c r="T1051" s="10">
        <f t="shared" si="215"/>
        <v>0</v>
      </c>
      <c r="U1051" s="9">
        <v>0</v>
      </c>
      <c r="V1051" s="10">
        <f t="shared" si="214"/>
        <v>0</v>
      </c>
      <c r="W1051" s="4" t="s">
        <v>122</v>
      </c>
      <c r="X1051" s="2"/>
      <c r="Y1051" s="11">
        <v>3</v>
      </c>
      <c r="Z1051" s="12">
        <f t="shared" si="217"/>
        <v>0</v>
      </c>
      <c r="AA1051" s="4" t="s">
        <v>2949</v>
      </c>
      <c r="AC1051" s="176">
        <f t="shared" si="213"/>
        <v>0</v>
      </c>
    </row>
    <row r="1052" spans="2:29">
      <c r="B1052" s="183">
        <f t="shared" si="218"/>
        <v>30</v>
      </c>
      <c r="C1052" s="107" t="str">
        <f t="shared" si="219"/>
        <v>ATK</v>
      </c>
      <c r="D1052" s="2" t="s">
        <v>2945</v>
      </c>
      <c r="E1052" s="3">
        <v>44032</v>
      </c>
      <c r="F1052" s="3">
        <v>44032</v>
      </c>
      <c r="G1052" s="108">
        <f t="shared" si="220"/>
        <v>7</v>
      </c>
      <c r="H1052" s="108" t="str">
        <f t="shared" si="221"/>
        <v>Other</v>
      </c>
      <c r="I1052" s="112" t="s">
        <v>251</v>
      </c>
      <c r="J1052" s="4" t="s">
        <v>499</v>
      </c>
      <c r="K1052" s="4" t="s">
        <v>499</v>
      </c>
      <c r="L1052" s="6" t="str">
        <f t="shared" si="216"/>
        <v>QA</v>
      </c>
      <c r="M1052" s="13" t="s">
        <v>2946</v>
      </c>
      <c r="N1052" s="7" t="s">
        <v>140</v>
      </c>
      <c r="O1052" s="13" t="s">
        <v>2947</v>
      </c>
      <c r="P1052" s="115" t="s">
        <v>2948</v>
      </c>
      <c r="Q1052" s="8"/>
      <c r="R1052" s="2">
        <v>1</v>
      </c>
      <c r="S1052" s="9">
        <v>0</v>
      </c>
      <c r="T1052" s="10">
        <f t="shared" ref="T1052" si="230">(S1052*50)/100*R1052</f>
        <v>0</v>
      </c>
      <c r="U1052" s="9">
        <v>0</v>
      </c>
      <c r="V1052" s="10">
        <f t="shared" ref="V1052" si="231">T1052-U1052</f>
        <v>0</v>
      </c>
      <c r="W1052" s="4" t="s">
        <v>122</v>
      </c>
      <c r="X1052" s="2"/>
      <c r="Y1052" s="11">
        <v>3</v>
      </c>
      <c r="Z1052" s="12">
        <f t="shared" si="217"/>
        <v>0</v>
      </c>
      <c r="AA1052" s="4" t="s">
        <v>2950</v>
      </c>
      <c r="AC1052" s="176">
        <f t="shared" si="213"/>
        <v>0</v>
      </c>
    </row>
    <row r="1053" spans="2:29">
      <c r="B1053" s="183">
        <f t="shared" si="218"/>
        <v>30</v>
      </c>
      <c r="C1053" s="107" t="str">
        <f t="shared" si="219"/>
        <v>ATK</v>
      </c>
      <c r="D1053" s="2" t="s">
        <v>2955</v>
      </c>
      <c r="E1053" s="3">
        <v>44032</v>
      </c>
      <c r="F1053" s="3">
        <v>44032</v>
      </c>
      <c r="G1053" s="108">
        <f t="shared" si="220"/>
        <v>7</v>
      </c>
      <c r="H1053" s="108" t="str">
        <f t="shared" si="221"/>
        <v>Other</v>
      </c>
      <c r="I1053" s="112" t="s">
        <v>251</v>
      </c>
      <c r="J1053" s="4" t="s">
        <v>2953</v>
      </c>
      <c r="K1053" s="5" t="s">
        <v>2954</v>
      </c>
      <c r="L1053" s="6" t="str">
        <f t="shared" si="216"/>
        <v>EE1</v>
      </c>
      <c r="M1053" s="13" t="s">
        <v>226</v>
      </c>
      <c r="N1053" s="7" t="s">
        <v>3905</v>
      </c>
      <c r="O1053" s="13" t="s">
        <v>2951</v>
      </c>
      <c r="P1053" s="115" t="s">
        <v>2952</v>
      </c>
      <c r="Q1053" s="8"/>
      <c r="R1053" s="2">
        <v>1</v>
      </c>
      <c r="S1053" s="9">
        <v>0</v>
      </c>
      <c r="T1053" s="10">
        <f t="shared" si="215"/>
        <v>0</v>
      </c>
      <c r="U1053" s="9">
        <v>0</v>
      </c>
      <c r="V1053" s="10">
        <f t="shared" si="214"/>
        <v>0</v>
      </c>
      <c r="W1053" s="4" t="s">
        <v>122</v>
      </c>
      <c r="X1053" s="2"/>
      <c r="Y1053" s="11">
        <v>1</v>
      </c>
      <c r="Z1053" s="12">
        <f t="shared" si="217"/>
        <v>0</v>
      </c>
      <c r="AA1053" s="4" t="s">
        <v>2949</v>
      </c>
      <c r="AC1053" s="176">
        <f t="shared" si="213"/>
        <v>0</v>
      </c>
    </row>
    <row r="1054" spans="2:29">
      <c r="B1054" s="183">
        <f t="shared" si="218"/>
        <v>30</v>
      </c>
      <c r="C1054" s="107" t="str">
        <f t="shared" si="219"/>
        <v>ATK</v>
      </c>
      <c r="D1054" s="2" t="s">
        <v>2955</v>
      </c>
      <c r="E1054" s="3">
        <v>44032</v>
      </c>
      <c r="F1054" s="3">
        <v>44032</v>
      </c>
      <c r="G1054" s="108">
        <f t="shared" si="220"/>
        <v>7</v>
      </c>
      <c r="H1054" s="108" t="str">
        <f t="shared" si="221"/>
        <v>Other</v>
      </c>
      <c r="I1054" s="112" t="s">
        <v>251</v>
      </c>
      <c r="J1054" s="4" t="s">
        <v>2953</v>
      </c>
      <c r="K1054" s="5" t="s">
        <v>2954</v>
      </c>
      <c r="L1054" s="6" t="str">
        <f t="shared" si="216"/>
        <v>EE1</v>
      </c>
      <c r="M1054" s="13" t="s">
        <v>226</v>
      </c>
      <c r="N1054" s="7" t="s">
        <v>3905</v>
      </c>
      <c r="O1054" s="13" t="s">
        <v>2951</v>
      </c>
      <c r="P1054" s="115" t="s">
        <v>2952</v>
      </c>
      <c r="Q1054" s="8"/>
      <c r="R1054" s="2">
        <v>1</v>
      </c>
      <c r="S1054" s="9">
        <v>0</v>
      </c>
      <c r="T1054" s="10">
        <f t="shared" si="215"/>
        <v>0</v>
      </c>
      <c r="U1054" s="9">
        <v>0</v>
      </c>
      <c r="V1054" s="10">
        <f t="shared" si="214"/>
        <v>0</v>
      </c>
      <c r="W1054" s="4" t="s">
        <v>122</v>
      </c>
      <c r="X1054" s="2"/>
      <c r="Y1054" s="11">
        <v>1</v>
      </c>
      <c r="Z1054" s="12">
        <f t="shared" si="217"/>
        <v>0</v>
      </c>
      <c r="AA1054" s="4" t="s">
        <v>2950</v>
      </c>
      <c r="AC1054" s="176">
        <f t="shared" si="213"/>
        <v>0</v>
      </c>
    </row>
    <row r="1055" spans="2:29">
      <c r="B1055" s="183">
        <f t="shared" si="218"/>
        <v>30</v>
      </c>
      <c r="C1055" s="107" t="str">
        <f t="shared" si="219"/>
        <v>ATK</v>
      </c>
      <c r="D1055" s="2" t="s">
        <v>2956</v>
      </c>
      <c r="E1055" s="3">
        <v>44032</v>
      </c>
      <c r="F1055" s="3">
        <v>44033</v>
      </c>
      <c r="G1055" s="108">
        <f t="shared" si="220"/>
        <v>7</v>
      </c>
      <c r="H1055" s="108" t="str">
        <f t="shared" si="221"/>
        <v>완료</v>
      </c>
      <c r="I1055" s="112" t="s">
        <v>218</v>
      </c>
      <c r="J1055" s="4" t="s">
        <v>132</v>
      </c>
      <c r="K1055" s="5" t="s">
        <v>1193</v>
      </c>
      <c r="L1055" s="6" t="str">
        <f t="shared" si="216"/>
        <v>3T2</v>
      </c>
      <c r="M1055" s="13" t="s">
        <v>2725</v>
      </c>
      <c r="N1055" s="7" t="s">
        <v>3886</v>
      </c>
      <c r="O1055" s="13" t="s">
        <v>1002</v>
      </c>
      <c r="P1055" s="115" t="s">
        <v>2726</v>
      </c>
      <c r="Q1055" s="8" t="s">
        <v>2957</v>
      </c>
      <c r="R1055" s="2">
        <v>1</v>
      </c>
      <c r="S1055" s="9">
        <v>700</v>
      </c>
      <c r="T1055" s="10">
        <f t="shared" si="215"/>
        <v>350</v>
      </c>
      <c r="U1055" s="9">
        <v>0</v>
      </c>
      <c r="V1055" s="10">
        <f t="shared" si="214"/>
        <v>350</v>
      </c>
      <c r="W1055" s="4" t="s">
        <v>122</v>
      </c>
      <c r="X1055" s="2"/>
      <c r="Y1055" s="11">
        <v>3</v>
      </c>
      <c r="Z1055" s="12">
        <f t="shared" si="217"/>
        <v>1</v>
      </c>
      <c r="AA1055" s="4" t="s">
        <v>120</v>
      </c>
      <c r="AC1055" s="176">
        <f t="shared" si="213"/>
        <v>0</v>
      </c>
    </row>
    <row r="1056" spans="2:29" ht="24">
      <c r="B1056" s="183">
        <f t="shared" si="218"/>
        <v>30</v>
      </c>
      <c r="C1056" s="107" t="str">
        <f t="shared" si="219"/>
        <v>ATK</v>
      </c>
      <c r="D1056" s="2" t="s">
        <v>2958</v>
      </c>
      <c r="E1056" s="3">
        <v>43886</v>
      </c>
      <c r="F1056" s="3">
        <v>44033</v>
      </c>
      <c r="G1056" s="108">
        <f t="shared" si="220"/>
        <v>7</v>
      </c>
      <c r="H1056" s="108" t="str">
        <f t="shared" si="221"/>
        <v>완료</v>
      </c>
      <c r="I1056" s="112" t="s">
        <v>218</v>
      </c>
      <c r="J1056" s="4" t="s">
        <v>127</v>
      </c>
      <c r="K1056" s="5" t="s">
        <v>131</v>
      </c>
      <c r="L1056" s="6" t="str">
        <f t="shared" si="216"/>
        <v>1T4</v>
      </c>
      <c r="M1056" s="13" t="s">
        <v>2959</v>
      </c>
      <c r="N1056" s="7" t="s">
        <v>3616</v>
      </c>
      <c r="O1056" s="13" t="s">
        <v>968</v>
      </c>
      <c r="P1056" s="115" t="s">
        <v>969</v>
      </c>
      <c r="Q1056" s="8" t="s">
        <v>2960</v>
      </c>
      <c r="R1056" s="2">
        <v>1</v>
      </c>
      <c r="S1056" s="9">
        <v>400</v>
      </c>
      <c r="T1056" s="10">
        <f t="shared" si="215"/>
        <v>200</v>
      </c>
      <c r="U1056" s="9">
        <v>5</v>
      </c>
      <c r="V1056" s="10">
        <f t="shared" si="214"/>
        <v>195</v>
      </c>
      <c r="W1056" s="4" t="s">
        <v>122</v>
      </c>
      <c r="X1056" s="2"/>
      <c r="Y1056" s="11">
        <v>4</v>
      </c>
      <c r="Z1056" s="12">
        <f t="shared" si="217"/>
        <v>147</v>
      </c>
      <c r="AA1056" s="4" t="s">
        <v>120</v>
      </c>
      <c r="AC1056" s="176">
        <f t="shared" si="213"/>
        <v>4.5454545454545452E-3</v>
      </c>
    </row>
    <row r="1057" spans="2:29">
      <c r="B1057" s="183">
        <f t="shared" si="218"/>
        <v>30</v>
      </c>
      <c r="C1057" s="107" t="str">
        <f t="shared" si="219"/>
        <v>ATK</v>
      </c>
      <c r="D1057" s="2" t="s">
        <v>2961</v>
      </c>
      <c r="E1057" s="3">
        <v>44032</v>
      </c>
      <c r="F1057" s="3">
        <v>44033</v>
      </c>
      <c r="G1057" s="108">
        <f t="shared" si="220"/>
        <v>7</v>
      </c>
      <c r="H1057" s="108" t="str">
        <f t="shared" si="221"/>
        <v>완료</v>
      </c>
      <c r="I1057" s="112" t="s">
        <v>218</v>
      </c>
      <c r="J1057" s="4" t="s">
        <v>127</v>
      </c>
      <c r="K1057" s="5" t="s">
        <v>135</v>
      </c>
      <c r="L1057" s="6" t="str">
        <f t="shared" si="216"/>
        <v>1T3</v>
      </c>
      <c r="M1057" s="13" t="s">
        <v>2962</v>
      </c>
      <c r="N1057" s="200" t="s">
        <v>3906</v>
      </c>
      <c r="O1057" s="13" t="s">
        <v>537</v>
      </c>
      <c r="P1057" s="115" t="s">
        <v>2963</v>
      </c>
      <c r="Q1057" s="8"/>
      <c r="R1057" s="2">
        <v>1</v>
      </c>
      <c r="S1057" s="9">
        <v>1500</v>
      </c>
      <c r="T1057" s="10">
        <f t="shared" si="215"/>
        <v>750</v>
      </c>
      <c r="U1057" s="9"/>
      <c r="V1057" s="10">
        <f t="shared" si="214"/>
        <v>750</v>
      </c>
      <c r="W1057" s="4" t="s">
        <v>122</v>
      </c>
      <c r="X1057" s="2"/>
      <c r="Y1057" s="11">
        <v>6</v>
      </c>
      <c r="Z1057" s="12">
        <f t="shared" si="217"/>
        <v>1</v>
      </c>
      <c r="AA1057" s="4" t="s">
        <v>212</v>
      </c>
      <c r="AC1057" s="176">
        <f t="shared" si="213"/>
        <v>0</v>
      </c>
    </row>
    <row r="1058" spans="2:29">
      <c r="B1058" s="183">
        <f t="shared" si="218"/>
        <v>30</v>
      </c>
      <c r="C1058" s="107" t="str">
        <f t="shared" si="219"/>
        <v>ATK</v>
      </c>
      <c r="D1058" s="2" t="s">
        <v>2968</v>
      </c>
      <c r="E1058" s="3">
        <v>44033</v>
      </c>
      <c r="F1058" s="3">
        <v>44033</v>
      </c>
      <c r="G1058" s="108">
        <f t="shared" si="220"/>
        <v>7</v>
      </c>
      <c r="H1058" s="108" t="str">
        <f t="shared" si="221"/>
        <v>완료</v>
      </c>
      <c r="I1058" s="112" t="s">
        <v>218</v>
      </c>
      <c r="J1058" s="4" t="s">
        <v>2970</v>
      </c>
      <c r="K1058" s="5" t="s">
        <v>2971</v>
      </c>
      <c r="L1058" s="6" t="str">
        <f t="shared" si="216"/>
        <v>EE2</v>
      </c>
      <c r="M1058" s="13" t="s">
        <v>256</v>
      </c>
      <c r="N1058" s="7" t="s">
        <v>3551</v>
      </c>
      <c r="O1058" s="13" t="s">
        <v>2972</v>
      </c>
      <c r="P1058" s="115" t="s">
        <v>2973</v>
      </c>
      <c r="Q1058" s="8"/>
      <c r="R1058" s="2">
        <v>1</v>
      </c>
      <c r="S1058" s="9">
        <v>3500</v>
      </c>
      <c r="T1058" s="10">
        <f t="shared" si="215"/>
        <v>1750</v>
      </c>
      <c r="U1058" s="9">
        <v>0</v>
      </c>
      <c r="V1058" s="10">
        <f t="shared" si="214"/>
        <v>1750</v>
      </c>
      <c r="W1058" s="4" t="s">
        <v>122</v>
      </c>
      <c r="X1058" s="2"/>
      <c r="Y1058" s="11">
        <v>3</v>
      </c>
      <c r="Z1058" s="12">
        <f t="shared" si="217"/>
        <v>0</v>
      </c>
      <c r="AA1058" s="4" t="s">
        <v>2974</v>
      </c>
      <c r="AC1058" s="176">
        <f t="shared" si="213"/>
        <v>0</v>
      </c>
    </row>
    <row r="1059" spans="2:29">
      <c r="B1059" s="183">
        <f t="shared" si="218"/>
        <v>30</v>
      </c>
      <c r="C1059" s="107" t="str">
        <f t="shared" si="219"/>
        <v>ATK</v>
      </c>
      <c r="D1059" s="2" t="s">
        <v>2969</v>
      </c>
      <c r="E1059" s="3">
        <v>44032</v>
      </c>
      <c r="F1059" s="3">
        <v>44033</v>
      </c>
      <c r="G1059" s="108">
        <f t="shared" si="220"/>
        <v>7</v>
      </c>
      <c r="H1059" s="108" t="str">
        <f t="shared" si="221"/>
        <v>완료</v>
      </c>
      <c r="I1059" s="112" t="s">
        <v>218</v>
      </c>
      <c r="J1059" s="4" t="s">
        <v>132</v>
      </c>
      <c r="K1059" s="5" t="s">
        <v>143</v>
      </c>
      <c r="L1059" s="6" t="str">
        <f t="shared" si="216"/>
        <v>3T4</v>
      </c>
      <c r="M1059" s="13" t="s">
        <v>158</v>
      </c>
      <c r="N1059" s="7" t="s">
        <v>3500</v>
      </c>
      <c r="O1059" s="13" t="s">
        <v>2975</v>
      </c>
      <c r="P1059" s="115" t="s">
        <v>1617</v>
      </c>
      <c r="Q1059" s="8"/>
      <c r="R1059" s="2">
        <v>1</v>
      </c>
      <c r="S1059" s="9">
        <v>1200</v>
      </c>
      <c r="T1059" s="10">
        <f t="shared" si="215"/>
        <v>600</v>
      </c>
      <c r="U1059" s="9">
        <v>100</v>
      </c>
      <c r="V1059" s="10">
        <f t="shared" si="214"/>
        <v>500</v>
      </c>
      <c r="W1059" s="4" t="s">
        <v>122</v>
      </c>
      <c r="X1059" s="2"/>
      <c r="Y1059" s="11">
        <v>2</v>
      </c>
      <c r="Z1059" s="12">
        <f t="shared" si="217"/>
        <v>1</v>
      </c>
      <c r="AA1059" s="4" t="s">
        <v>2974</v>
      </c>
      <c r="AC1059" s="176">
        <f t="shared" si="213"/>
        <v>9.0909090909090912E-2</v>
      </c>
    </row>
    <row r="1060" spans="2:29">
      <c r="B1060" s="183">
        <f t="shared" si="218"/>
        <v>30</v>
      </c>
      <c r="C1060" s="107" t="str">
        <f t="shared" si="219"/>
        <v>ATK</v>
      </c>
      <c r="D1060" s="2" t="s">
        <v>2976</v>
      </c>
      <c r="E1060" s="3">
        <v>44034</v>
      </c>
      <c r="F1060" s="3">
        <v>44034</v>
      </c>
      <c r="G1060" s="108">
        <f t="shared" si="220"/>
        <v>7</v>
      </c>
      <c r="H1060" s="108" t="str">
        <f t="shared" si="221"/>
        <v>완료</v>
      </c>
      <c r="I1060" s="112" t="s">
        <v>218</v>
      </c>
      <c r="J1060" s="4" t="s">
        <v>127</v>
      </c>
      <c r="K1060" s="5" t="s">
        <v>209</v>
      </c>
      <c r="L1060" s="6" t="str">
        <f t="shared" si="216"/>
        <v>1T2</v>
      </c>
      <c r="M1060" s="13" t="s">
        <v>2977</v>
      </c>
      <c r="N1060" s="7"/>
      <c r="O1060" s="13" t="s">
        <v>2978</v>
      </c>
      <c r="P1060" s="115" t="s">
        <v>2979</v>
      </c>
      <c r="Q1060" s="8"/>
      <c r="R1060" s="2">
        <v>1</v>
      </c>
      <c r="S1060" s="9">
        <v>1500</v>
      </c>
      <c r="T1060" s="10">
        <f t="shared" si="215"/>
        <v>750</v>
      </c>
      <c r="U1060" s="9">
        <v>0</v>
      </c>
      <c r="V1060" s="10">
        <f t="shared" si="214"/>
        <v>750</v>
      </c>
      <c r="W1060" s="4" t="s">
        <v>122</v>
      </c>
      <c r="X1060" s="2"/>
      <c r="Y1060" s="11">
        <v>1</v>
      </c>
      <c r="Z1060" s="12">
        <f t="shared" si="217"/>
        <v>0</v>
      </c>
      <c r="AA1060" s="4" t="s">
        <v>117</v>
      </c>
      <c r="AC1060" s="176">
        <f t="shared" si="213"/>
        <v>0</v>
      </c>
    </row>
    <row r="1061" spans="2:29">
      <c r="B1061" s="183">
        <f t="shared" si="218"/>
        <v>30</v>
      </c>
      <c r="C1061" s="107" t="str">
        <f t="shared" si="219"/>
        <v>ATK</v>
      </c>
      <c r="D1061" s="2" t="s">
        <v>2982</v>
      </c>
      <c r="E1061" s="3">
        <v>44034</v>
      </c>
      <c r="F1061" s="3">
        <v>44034</v>
      </c>
      <c r="G1061" s="108">
        <f t="shared" si="220"/>
        <v>7</v>
      </c>
      <c r="H1061" s="108" t="str">
        <f t="shared" si="221"/>
        <v>완료</v>
      </c>
      <c r="I1061" s="112" t="s">
        <v>218</v>
      </c>
      <c r="J1061" s="4" t="s">
        <v>243</v>
      </c>
      <c r="K1061" s="5" t="s">
        <v>243</v>
      </c>
      <c r="L1061" s="6" t="str">
        <f t="shared" si="216"/>
        <v>K5</v>
      </c>
      <c r="M1061" s="13" t="s">
        <v>2980</v>
      </c>
      <c r="N1061" s="7"/>
      <c r="O1061" s="13" t="s">
        <v>2978</v>
      </c>
      <c r="P1061" s="115" t="s">
        <v>2981</v>
      </c>
      <c r="Q1061" s="8"/>
      <c r="R1061" s="2">
        <v>1</v>
      </c>
      <c r="S1061" s="9">
        <v>2000</v>
      </c>
      <c r="T1061" s="10">
        <f t="shared" si="215"/>
        <v>1000</v>
      </c>
      <c r="U1061" s="9">
        <v>5</v>
      </c>
      <c r="V1061" s="10">
        <f t="shared" si="214"/>
        <v>995</v>
      </c>
      <c r="W1061" s="4" t="s">
        <v>122</v>
      </c>
      <c r="X1061" s="2"/>
      <c r="Y1061" s="11">
        <v>2</v>
      </c>
      <c r="Z1061" s="12">
        <f t="shared" si="217"/>
        <v>0</v>
      </c>
      <c r="AA1061" s="4" t="s">
        <v>117</v>
      </c>
      <c r="AC1061" s="176">
        <f t="shared" si="213"/>
        <v>4.5454545454545452E-3</v>
      </c>
    </row>
    <row r="1062" spans="2:29">
      <c r="B1062" s="183">
        <f t="shared" si="218"/>
        <v>30</v>
      </c>
      <c r="C1062" s="107" t="str">
        <f t="shared" si="219"/>
        <v>ATK</v>
      </c>
      <c r="D1062" s="2" t="s">
        <v>2983</v>
      </c>
      <c r="E1062" s="3">
        <v>44034</v>
      </c>
      <c r="F1062" s="3">
        <v>44034</v>
      </c>
      <c r="G1062" s="108">
        <f t="shared" si="220"/>
        <v>7</v>
      </c>
      <c r="H1062" s="108" t="str">
        <f t="shared" si="221"/>
        <v>수리불가</v>
      </c>
      <c r="I1062" s="112" t="s">
        <v>601</v>
      </c>
      <c r="J1062" s="4" t="s">
        <v>121</v>
      </c>
      <c r="K1062" s="5" t="s">
        <v>136</v>
      </c>
      <c r="L1062" s="6" t="str">
        <f t="shared" si="216"/>
        <v>5T1</v>
      </c>
      <c r="M1062" s="13" t="s">
        <v>2984</v>
      </c>
      <c r="N1062" s="7"/>
      <c r="O1062" s="13" t="s">
        <v>2985</v>
      </c>
      <c r="P1062" s="115"/>
      <c r="Q1062" s="8"/>
      <c r="R1062" s="2">
        <v>1</v>
      </c>
      <c r="S1062" s="9">
        <v>7000</v>
      </c>
      <c r="T1062" s="10">
        <f t="shared" si="215"/>
        <v>3500</v>
      </c>
      <c r="U1062" s="9">
        <v>0</v>
      </c>
      <c r="V1062" s="10">
        <f t="shared" si="214"/>
        <v>3500</v>
      </c>
      <c r="W1062" s="4" t="s">
        <v>122</v>
      </c>
      <c r="X1062" s="2"/>
      <c r="Y1062" s="11">
        <v>3</v>
      </c>
      <c r="Z1062" s="12">
        <f t="shared" si="217"/>
        <v>0</v>
      </c>
      <c r="AA1062" s="4" t="s">
        <v>117</v>
      </c>
      <c r="AC1062" s="176">
        <f t="shared" si="213"/>
        <v>0</v>
      </c>
    </row>
    <row r="1063" spans="2:29">
      <c r="B1063" s="183">
        <f t="shared" si="218"/>
        <v>30</v>
      </c>
      <c r="C1063" s="107" t="str">
        <f t="shared" si="219"/>
        <v>ATK</v>
      </c>
      <c r="D1063" s="2" t="s">
        <v>2986</v>
      </c>
      <c r="E1063" s="3">
        <v>44034</v>
      </c>
      <c r="F1063" s="3">
        <v>44034</v>
      </c>
      <c r="G1063" s="108">
        <f t="shared" si="220"/>
        <v>7</v>
      </c>
      <c r="H1063" s="108" t="str">
        <f t="shared" si="221"/>
        <v>완료</v>
      </c>
      <c r="I1063" s="112" t="s">
        <v>218</v>
      </c>
      <c r="J1063" s="4" t="s">
        <v>243</v>
      </c>
      <c r="K1063" s="5" t="s">
        <v>243</v>
      </c>
      <c r="L1063" s="6" t="str">
        <f t="shared" si="216"/>
        <v>K5</v>
      </c>
      <c r="M1063" s="13" t="s">
        <v>2987</v>
      </c>
      <c r="N1063" s="7" t="s">
        <v>3907</v>
      </c>
      <c r="O1063" s="13" t="s">
        <v>2988</v>
      </c>
      <c r="P1063" s="115" t="s">
        <v>2989</v>
      </c>
      <c r="Q1063" s="8"/>
      <c r="R1063" s="2">
        <v>1</v>
      </c>
      <c r="S1063" s="9">
        <v>650</v>
      </c>
      <c r="T1063" s="10">
        <f t="shared" si="215"/>
        <v>325</v>
      </c>
      <c r="U1063" s="9">
        <v>2</v>
      </c>
      <c r="V1063" s="10">
        <f t="shared" si="214"/>
        <v>323</v>
      </c>
      <c r="W1063" s="4" t="s">
        <v>122</v>
      </c>
      <c r="X1063" s="2"/>
      <c r="Y1063" s="11">
        <v>3</v>
      </c>
      <c r="Z1063" s="12">
        <f t="shared" si="217"/>
        <v>0</v>
      </c>
      <c r="AA1063" s="4" t="s">
        <v>120</v>
      </c>
      <c r="AC1063" s="176">
        <f t="shared" si="213"/>
        <v>1.8181818181818182E-3</v>
      </c>
    </row>
    <row r="1064" spans="2:29">
      <c r="B1064" s="183">
        <f t="shared" si="218"/>
        <v>30</v>
      </c>
      <c r="C1064" s="107" t="str">
        <f t="shared" si="219"/>
        <v>ATK</v>
      </c>
      <c r="D1064" s="2" t="s">
        <v>2990</v>
      </c>
      <c r="E1064" s="3">
        <v>44034</v>
      </c>
      <c r="F1064" s="3">
        <v>44034</v>
      </c>
      <c r="G1064" s="108">
        <f t="shared" si="220"/>
        <v>7</v>
      </c>
      <c r="H1064" s="108" t="str">
        <f t="shared" si="221"/>
        <v>Other</v>
      </c>
      <c r="I1064" s="112" t="s">
        <v>2991</v>
      </c>
      <c r="J1064" s="4" t="s">
        <v>2992</v>
      </c>
      <c r="K1064" s="5" t="s">
        <v>1091</v>
      </c>
      <c r="L1064" s="6" t="str">
        <f t="shared" si="216"/>
        <v>5T2</v>
      </c>
      <c r="M1064" s="13" t="s">
        <v>2993</v>
      </c>
      <c r="N1064" s="7" t="s">
        <v>3908</v>
      </c>
      <c r="O1064" s="13" t="s">
        <v>270</v>
      </c>
      <c r="P1064" s="115" t="s">
        <v>2994</v>
      </c>
      <c r="Q1064" s="8" t="s">
        <v>2997</v>
      </c>
      <c r="R1064" s="2">
        <v>1</v>
      </c>
      <c r="S1064" s="9">
        <v>500</v>
      </c>
      <c r="T1064" s="10">
        <f t="shared" si="215"/>
        <v>250</v>
      </c>
      <c r="U1064" s="9">
        <v>0</v>
      </c>
      <c r="V1064" s="10">
        <f t="shared" si="214"/>
        <v>250</v>
      </c>
      <c r="W1064" s="4" t="s">
        <v>2995</v>
      </c>
      <c r="X1064" s="2"/>
      <c r="Y1064" s="11">
        <v>1</v>
      </c>
      <c r="Z1064" s="12">
        <f t="shared" si="217"/>
        <v>0</v>
      </c>
      <c r="AA1064" s="4" t="s">
        <v>2996</v>
      </c>
      <c r="AC1064" s="176">
        <f t="shared" si="213"/>
        <v>0</v>
      </c>
    </row>
    <row r="1065" spans="2:29">
      <c r="B1065" s="183">
        <f t="shared" si="218"/>
        <v>30</v>
      </c>
      <c r="C1065" s="107" t="str">
        <f t="shared" si="219"/>
        <v>ATK</v>
      </c>
      <c r="D1065" s="2" t="s">
        <v>2998</v>
      </c>
      <c r="E1065" s="3">
        <v>44034</v>
      </c>
      <c r="F1065" s="3">
        <v>44034</v>
      </c>
      <c r="G1065" s="108">
        <f t="shared" si="220"/>
        <v>7</v>
      </c>
      <c r="H1065" s="108" t="str">
        <f t="shared" si="221"/>
        <v>완료</v>
      </c>
      <c r="I1065" s="112" t="s">
        <v>3003</v>
      </c>
      <c r="J1065" s="4" t="s">
        <v>804</v>
      </c>
      <c r="K1065" s="5" t="s">
        <v>1091</v>
      </c>
      <c r="L1065" s="6" t="str">
        <f t="shared" si="216"/>
        <v>5T2</v>
      </c>
      <c r="M1065" s="13" t="s">
        <v>2522</v>
      </c>
      <c r="N1065" s="7" t="s">
        <v>3909</v>
      </c>
      <c r="O1065" s="13" t="s">
        <v>2999</v>
      </c>
      <c r="P1065" s="115" t="s">
        <v>3000</v>
      </c>
      <c r="Q1065" s="8"/>
      <c r="R1065" s="2">
        <v>1</v>
      </c>
      <c r="S1065" s="9">
        <v>1500</v>
      </c>
      <c r="T1065" s="10">
        <f t="shared" si="215"/>
        <v>750</v>
      </c>
      <c r="U1065" s="9">
        <v>0</v>
      </c>
      <c r="V1065" s="10">
        <f t="shared" si="214"/>
        <v>750</v>
      </c>
      <c r="W1065" s="4" t="s">
        <v>3001</v>
      </c>
      <c r="X1065" s="2"/>
      <c r="Y1065" s="11">
        <v>2</v>
      </c>
      <c r="Z1065" s="12">
        <f t="shared" si="217"/>
        <v>0</v>
      </c>
      <c r="AA1065" s="4" t="s">
        <v>3002</v>
      </c>
      <c r="AC1065" s="176">
        <f t="shared" si="213"/>
        <v>0</v>
      </c>
    </row>
    <row r="1066" spans="2:29">
      <c r="B1066" s="183">
        <f t="shared" si="218"/>
        <v>30</v>
      </c>
      <c r="C1066" s="107" t="str">
        <f t="shared" si="219"/>
        <v>ATK</v>
      </c>
      <c r="D1066" s="2" t="s">
        <v>3004</v>
      </c>
      <c r="E1066" s="3">
        <v>44034</v>
      </c>
      <c r="F1066" s="3">
        <v>44034</v>
      </c>
      <c r="G1066" s="108">
        <f t="shared" si="220"/>
        <v>7</v>
      </c>
      <c r="H1066" s="108" t="str">
        <f t="shared" si="221"/>
        <v>완료</v>
      </c>
      <c r="I1066" s="112" t="s">
        <v>264</v>
      </c>
      <c r="J1066" s="4" t="s">
        <v>3008</v>
      </c>
      <c r="K1066" s="5" t="s">
        <v>3009</v>
      </c>
      <c r="L1066" s="6" t="str">
        <f t="shared" si="216"/>
        <v>3T1</v>
      </c>
      <c r="M1066" s="13" t="s">
        <v>3010</v>
      </c>
      <c r="N1066" s="7" t="s">
        <v>140</v>
      </c>
      <c r="O1066" s="13" t="s">
        <v>3005</v>
      </c>
      <c r="P1066" s="115" t="s">
        <v>3006</v>
      </c>
      <c r="Q1066" s="8"/>
      <c r="R1066" s="2">
        <v>1</v>
      </c>
      <c r="S1066" s="9">
        <v>2500</v>
      </c>
      <c r="T1066" s="10">
        <f t="shared" si="215"/>
        <v>1250</v>
      </c>
      <c r="U1066" s="9">
        <v>80</v>
      </c>
      <c r="V1066" s="10">
        <f t="shared" si="214"/>
        <v>1170</v>
      </c>
      <c r="W1066" s="4" t="s">
        <v>249</v>
      </c>
      <c r="X1066" s="2"/>
      <c r="Y1066" s="11">
        <v>6</v>
      </c>
      <c r="Z1066" s="12">
        <f t="shared" si="217"/>
        <v>0</v>
      </c>
      <c r="AA1066" s="4" t="s">
        <v>3007</v>
      </c>
      <c r="AC1066" s="176">
        <f t="shared" si="213"/>
        <v>7.2727272727272724E-2</v>
      </c>
    </row>
    <row r="1067" spans="2:29">
      <c r="B1067" s="183">
        <f t="shared" si="218"/>
        <v>30</v>
      </c>
      <c r="C1067" s="107" t="str">
        <f t="shared" si="219"/>
        <v>ATK</v>
      </c>
      <c r="D1067" s="2" t="s">
        <v>3013</v>
      </c>
      <c r="E1067" s="3">
        <v>44025</v>
      </c>
      <c r="F1067" s="3">
        <v>44035</v>
      </c>
      <c r="G1067" s="108">
        <f t="shared" si="220"/>
        <v>7</v>
      </c>
      <c r="H1067" s="108" t="str">
        <f t="shared" si="221"/>
        <v>완료</v>
      </c>
      <c r="I1067" s="112" t="s">
        <v>218</v>
      </c>
      <c r="J1067" s="4" t="s">
        <v>115</v>
      </c>
      <c r="K1067" s="5" t="s">
        <v>138</v>
      </c>
      <c r="L1067" s="6" t="str">
        <f t="shared" si="216"/>
        <v>EE1</v>
      </c>
      <c r="M1067" s="13" t="s">
        <v>3014</v>
      </c>
      <c r="N1067" s="7" t="s">
        <v>3910</v>
      </c>
      <c r="O1067" s="13" t="s">
        <v>3015</v>
      </c>
      <c r="P1067" s="115" t="s">
        <v>3016</v>
      </c>
      <c r="Q1067" s="8" t="s">
        <v>3017</v>
      </c>
      <c r="R1067" s="2">
        <v>1</v>
      </c>
      <c r="S1067" s="9">
        <v>4000</v>
      </c>
      <c r="T1067" s="10">
        <f t="shared" si="215"/>
        <v>2000</v>
      </c>
      <c r="U1067" s="9">
        <v>2</v>
      </c>
      <c r="V1067" s="10">
        <f t="shared" si="214"/>
        <v>1998</v>
      </c>
      <c r="W1067" s="4" t="s">
        <v>122</v>
      </c>
      <c r="X1067" s="2"/>
      <c r="Y1067" s="11">
        <v>6</v>
      </c>
      <c r="Z1067" s="12">
        <f t="shared" si="217"/>
        <v>10</v>
      </c>
      <c r="AA1067" s="4" t="s">
        <v>120</v>
      </c>
      <c r="AC1067" s="176">
        <f t="shared" si="213"/>
        <v>1.8181818181818182E-3</v>
      </c>
    </row>
    <row r="1068" spans="2:29">
      <c r="B1068" s="183">
        <f t="shared" si="218"/>
        <v>30</v>
      </c>
      <c r="C1068" s="107" t="str">
        <f t="shared" si="219"/>
        <v>ATK</v>
      </c>
      <c r="D1068" s="2" t="s">
        <v>3018</v>
      </c>
      <c r="E1068" s="3">
        <v>44034</v>
      </c>
      <c r="F1068" s="3">
        <v>44035</v>
      </c>
      <c r="G1068" s="108">
        <f t="shared" si="220"/>
        <v>7</v>
      </c>
      <c r="H1068" s="108" t="str">
        <f t="shared" si="221"/>
        <v>완료</v>
      </c>
      <c r="I1068" s="112" t="s">
        <v>218</v>
      </c>
      <c r="J1068" s="4" t="s">
        <v>118</v>
      </c>
      <c r="K1068" s="5" t="s">
        <v>119</v>
      </c>
      <c r="L1068" s="6" t="str">
        <f t="shared" si="216"/>
        <v>2T3</v>
      </c>
      <c r="M1068" s="13" t="s">
        <v>1763</v>
      </c>
      <c r="N1068" s="7" t="s">
        <v>3911</v>
      </c>
      <c r="O1068" s="13" t="s">
        <v>3019</v>
      </c>
      <c r="P1068" s="115" t="s">
        <v>3020</v>
      </c>
      <c r="Q1068" s="8"/>
      <c r="R1068" s="2">
        <v>1</v>
      </c>
      <c r="S1068" s="9">
        <v>2800</v>
      </c>
      <c r="T1068" s="10">
        <f t="shared" si="215"/>
        <v>1400</v>
      </c>
      <c r="U1068" s="9">
        <v>50</v>
      </c>
      <c r="V1068" s="10">
        <f t="shared" si="214"/>
        <v>1350</v>
      </c>
      <c r="W1068" s="4" t="s">
        <v>122</v>
      </c>
      <c r="X1068" s="2"/>
      <c r="Y1068" s="11">
        <v>3</v>
      </c>
      <c r="Z1068" s="12">
        <f t="shared" si="217"/>
        <v>1</v>
      </c>
      <c r="AA1068" s="4" t="s">
        <v>117</v>
      </c>
      <c r="AC1068" s="176">
        <f t="shared" si="213"/>
        <v>4.5454545454545456E-2</v>
      </c>
    </row>
    <row r="1069" spans="2:29">
      <c r="B1069" s="183">
        <f t="shared" si="218"/>
        <v>30</v>
      </c>
      <c r="C1069" s="107" t="str">
        <f t="shared" si="219"/>
        <v>ATK</v>
      </c>
      <c r="D1069" s="2" t="s">
        <v>3021</v>
      </c>
      <c r="E1069" s="3">
        <v>44034</v>
      </c>
      <c r="F1069" s="3">
        <v>44035</v>
      </c>
      <c r="G1069" s="108">
        <f t="shared" si="220"/>
        <v>7</v>
      </c>
      <c r="H1069" s="108" t="str">
        <f t="shared" si="221"/>
        <v>완료</v>
      </c>
      <c r="I1069" s="112" t="s">
        <v>218</v>
      </c>
      <c r="J1069" s="4" t="s">
        <v>118</v>
      </c>
      <c r="K1069" s="5" t="s">
        <v>134</v>
      </c>
      <c r="L1069" s="6" t="str">
        <f t="shared" si="216"/>
        <v>2T1</v>
      </c>
      <c r="M1069" s="13" t="s">
        <v>454</v>
      </c>
      <c r="N1069" s="7" t="s">
        <v>140</v>
      </c>
      <c r="O1069" s="13" t="s">
        <v>286</v>
      </c>
      <c r="P1069" s="115"/>
      <c r="Q1069" s="8"/>
      <c r="R1069" s="2">
        <v>1</v>
      </c>
      <c r="S1069" s="9">
        <v>400</v>
      </c>
      <c r="T1069" s="10">
        <f t="shared" si="215"/>
        <v>200</v>
      </c>
      <c r="U1069" s="9">
        <v>2</v>
      </c>
      <c r="V1069" s="10">
        <f t="shared" si="214"/>
        <v>198</v>
      </c>
      <c r="W1069" s="4" t="s">
        <v>122</v>
      </c>
      <c r="X1069" s="2"/>
      <c r="Y1069" s="11">
        <v>1</v>
      </c>
      <c r="Z1069" s="12">
        <f t="shared" si="217"/>
        <v>1</v>
      </c>
      <c r="AA1069" s="4" t="s">
        <v>117</v>
      </c>
      <c r="AC1069" s="176">
        <f t="shared" si="213"/>
        <v>1.8181818181818182E-3</v>
      </c>
    </row>
    <row r="1070" spans="2:29">
      <c r="B1070" s="183">
        <f t="shared" si="218"/>
        <v>31</v>
      </c>
      <c r="C1070" s="107" t="str">
        <f t="shared" si="219"/>
        <v>ATK</v>
      </c>
      <c r="D1070" s="2" t="s">
        <v>3022</v>
      </c>
      <c r="E1070" s="3">
        <v>44035</v>
      </c>
      <c r="F1070" s="3">
        <v>44039</v>
      </c>
      <c r="G1070" s="108">
        <f t="shared" si="220"/>
        <v>7</v>
      </c>
      <c r="H1070" s="108" t="str">
        <f t="shared" si="221"/>
        <v>완료</v>
      </c>
      <c r="I1070" s="112" t="s">
        <v>218</v>
      </c>
      <c r="J1070" s="4" t="s">
        <v>3023</v>
      </c>
      <c r="K1070" s="5" t="s">
        <v>3024</v>
      </c>
      <c r="L1070" s="6" t="str">
        <f t="shared" si="216"/>
        <v>5T1</v>
      </c>
      <c r="M1070" s="13" t="s">
        <v>3025</v>
      </c>
      <c r="N1070" s="7" t="s">
        <v>140</v>
      </c>
      <c r="O1070" s="13" t="s">
        <v>3026</v>
      </c>
      <c r="P1070" s="115" t="s">
        <v>3027</v>
      </c>
      <c r="Q1070" s="8"/>
      <c r="R1070" s="2">
        <v>1</v>
      </c>
      <c r="S1070" s="9">
        <v>300</v>
      </c>
      <c r="T1070" s="10">
        <f t="shared" si="215"/>
        <v>150</v>
      </c>
      <c r="U1070" s="9">
        <v>5</v>
      </c>
      <c r="V1070" s="10">
        <f t="shared" si="214"/>
        <v>145</v>
      </c>
      <c r="W1070" s="4" t="s">
        <v>3028</v>
      </c>
      <c r="X1070" s="2"/>
      <c r="Y1070" s="11">
        <v>2</v>
      </c>
      <c r="Z1070" s="12">
        <f t="shared" si="217"/>
        <v>4</v>
      </c>
      <c r="AA1070" s="4" t="s">
        <v>3029</v>
      </c>
      <c r="AC1070" s="176">
        <f t="shared" si="213"/>
        <v>4.5454545454545452E-3</v>
      </c>
    </row>
    <row r="1071" spans="2:29">
      <c r="B1071" s="183">
        <f t="shared" si="218"/>
        <v>30</v>
      </c>
      <c r="C1071" s="107" t="str">
        <f t="shared" si="219"/>
        <v>ATK</v>
      </c>
      <c r="D1071" s="2" t="s">
        <v>3033</v>
      </c>
      <c r="E1071" s="3">
        <v>44035</v>
      </c>
      <c r="F1071" s="3">
        <v>44035</v>
      </c>
      <c r="G1071" s="108">
        <f t="shared" si="220"/>
        <v>7</v>
      </c>
      <c r="H1071" s="108" t="str">
        <f t="shared" si="221"/>
        <v>완료</v>
      </c>
      <c r="I1071" s="112" t="s">
        <v>3030</v>
      </c>
      <c r="J1071" s="4" t="s">
        <v>1184</v>
      </c>
      <c r="K1071" s="5" t="s">
        <v>1184</v>
      </c>
      <c r="L1071" s="6" t="str">
        <f t="shared" si="216"/>
        <v>QA</v>
      </c>
      <c r="M1071" s="13" t="s">
        <v>3014</v>
      </c>
      <c r="N1071" s="7" t="s">
        <v>3912</v>
      </c>
      <c r="O1071" s="13" t="s">
        <v>3031</v>
      </c>
      <c r="P1071" s="115" t="s">
        <v>3032</v>
      </c>
      <c r="Q1071" s="8" t="s">
        <v>3034</v>
      </c>
      <c r="R1071" s="2">
        <v>1</v>
      </c>
      <c r="S1071" s="9">
        <v>500</v>
      </c>
      <c r="T1071" s="10">
        <f t="shared" si="215"/>
        <v>250</v>
      </c>
      <c r="U1071" s="9">
        <v>5</v>
      </c>
      <c r="V1071" s="10">
        <f t="shared" si="214"/>
        <v>245</v>
      </c>
      <c r="W1071" s="4" t="s">
        <v>3028</v>
      </c>
      <c r="X1071" s="2"/>
      <c r="Y1071" s="11">
        <v>4</v>
      </c>
      <c r="Z1071" s="12">
        <f t="shared" si="217"/>
        <v>0</v>
      </c>
      <c r="AA1071" s="4" t="s">
        <v>3029</v>
      </c>
      <c r="AC1071" s="176">
        <f t="shared" si="213"/>
        <v>4.5454545454545452E-3</v>
      </c>
    </row>
    <row r="1072" spans="2:29">
      <c r="B1072" s="183">
        <f t="shared" si="218"/>
        <v>30</v>
      </c>
      <c r="C1072" s="107" t="str">
        <f t="shared" si="219"/>
        <v>ATK</v>
      </c>
      <c r="D1072" s="2" t="s">
        <v>3035</v>
      </c>
      <c r="E1072" s="3">
        <v>43999</v>
      </c>
      <c r="F1072" s="3">
        <v>44035</v>
      </c>
      <c r="G1072" s="108">
        <f t="shared" si="220"/>
        <v>7</v>
      </c>
      <c r="H1072" s="108" t="str">
        <f t="shared" si="221"/>
        <v>완료</v>
      </c>
      <c r="I1072" s="112" t="s">
        <v>3036</v>
      </c>
      <c r="J1072" s="4" t="s">
        <v>3037</v>
      </c>
      <c r="K1072" s="5" t="s">
        <v>3037</v>
      </c>
      <c r="L1072" s="6" t="str">
        <f t="shared" si="216"/>
        <v>QA</v>
      </c>
      <c r="M1072" s="13" t="s">
        <v>3038</v>
      </c>
      <c r="N1072" s="7" t="s">
        <v>3913</v>
      </c>
      <c r="O1072" s="13" t="s">
        <v>3039</v>
      </c>
      <c r="P1072" s="115" t="s">
        <v>3040</v>
      </c>
      <c r="Q1072" s="8"/>
      <c r="R1072" s="2">
        <v>1</v>
      </c>
      <c r="S1072" s="9">
        <v>4500</v>
      </c>
      <c r="T1072" s="10">
        <f t="shared" si="215"/>
        <v>2250</v>
      </c>
      <c r="U1072" s="9">
        <v>25</v>
      </c>
      <c r="V1072" s="10">
        <f t="shared" si="214"/>
        <v>2225</v>
      </c>
      <c r="W1072" s="4" t="s">
        <v>3041</v>
      </c>
      <c r="X1072" s="2"/>
      <c r="Y1072" s="11">
        <v>4</v>
      </c>
      <c r="Z1072" s="12">
        <f t="shared" si="217"/>
        <v>36</v>
      </c>
      <c r="AA1072" s="4" t="s">
        <v>3042</v>
      </c>
      <c r="AC1072" s="176">
        <f t="shared" si="213"/>
        <v>2.2727272727272728E-2</v>
      </c>
    </row>
    <row r="1073" spans="2:29">
      <c r="B1073" s="183">
        <f t="shared" si="218"/>
        <v>30</v>
      </c>
      <c r="C1073" s="107" t="str">
        <f t="shared" si="219"/>
        <v>ATK</v>
      </c>
      <c r="D1073" s="2" t="s">
        <v>3043</v>
      </c>
      <c r="E1073" s="3">
        <v>44035</v>
      </c>
      <c r="F1073" s="3">
        <v>44035</v>
      </c>
      <c r="G1073" s="108">
        <f t="shared" si="220"/>
        <v>7</v>
      </c>
      <c r="H1073" s="108" t="str">
        <f t="shared" si="221"/>
        <v>완료</v>
      </c>
      <c r="I1073" s="112" t="s">
        <v>3036</v>
      </c>
      <c r="J1073" s="4" t="s">
        <v>3044</v>
      </c>
      <c r="K1073" s="5" t="s">
        <v>1091</v>
      </c>
      <c r="L1073" s="6" t="str">
        <f t="shared" si="216"/>
        <v>5T2</v>
      </c>
      <c r="M1073" s="13" t="s">
        <v>299</v>
      </c>
      <c r="N1073" s="7" t="s">
        <v>3631</v>
      </c>
      <c r="O1073" s="13" t="s">
        <v>270</v>
      </c>
      <c r="P1073" s="115" t="s">
        <v>3045</v>
      </c>
      <c r="Q1073" s="8"/>
      <c r="R1073" s="2">
        <v>1</v>
      </c>
      <c r="S1073" s="9">
        <v>755</v>
      </c>
      <c r="T1073" s="10">
        <f t="shared" si="215"/>
        <v>377.5</v>
      </c>
      <c r="U1073" s="9">
        <v>5</v>
      </c>
      <c r="V1073" s="10">
        <f t="shared" si="214"/>
        <v>372.5</v>
      </c>
      <c r="W1073" s="4" t="s">
        <v>3041</v>
      </c>
      <c r="X1073" s="2"/>
      <c r="Y1073" s="11">
        <v>2</v>
      </c>
      <c r="Z1073" s="12">
        <f t="shared" si="217"/>
        <v>0</v>
      </c>
      <c r="AA1073" s="4" t="s">
        <v>3042</v>
      </c>
      <c r="AC1073" s="176">
        <f t="shared" si="213"/>
        <v>4.5454545454545452E-3</v>
      </c>
    </row>
    <row r="1074" spans="2:29">
      <c r="B1074" s="183">
        <f t="shared" si="218"/>
        <v>30</v>
      </c>
      <c r="C1074" s="107" t="str">
        <f t="shared" si="219"/>
        <v>ATK</v>
      </c>
      <c r="D1074" s="2" t="s">
        <v>223</v>
      </c>
      <c r="E1074" s="3">
        <v>44035</v>
      </c>
      <c r="F1074" s="3">
        <v>44035</v>
      </c>
      <c r="G1074" s="108">
        <f t="shared" si="220"/>
        <v>7</v>
      </c>
      <c r="H1074" s="108" t="str">
        <f t="shared" si="221"/>
        <v>완료</v>
      </c>
      <c r="I1074" s="112" t="s">
        <v>218</v>
      </c>
      <c r="J1074" s="4" t="s">
        <v>804</v>
      </c>
      <c r="K1074" s="5" t="s">
        <v>1091</v>
      </c>
      <c r="L1074" s="6" t="str">
        <f t="shared" si="216"/>
        <v>5T2</v>
      </c>
      <c r="M1074" s="13" t="s">
        <v>3046</v>
      </c>
      <c r="N1074" s="7" t="s">
        <v>3641</v>
      </c>
      <c r="O1074" s="13" t="s">
        <v>3047</v>
      </c>
      <c r="P1074" s="115" t="s">
        <v>3048</v>
      </c>
      <c r="Q1074" s="8"/>
      <c r="R1074" s="2">
        <v>1</v>
      </c>
      <c r="S1074" s="9">
        <v>1000</v>
      </c>
      <c r="T1074" s="10">
        <f t="shared" si="215"/>
        <v>500</v>
      </c>
      <c r="U1074" s="9">
        <v>5</v>
      </c>
      <c r="V1074" s="10">
        <f t="shared" si="214"/>
        <v>495</v>
      </c>
      <c r="W1074" s="4" t="s">
        <v>122</v>
      </c>
      <c r="X1074" s="2"/>
      <c r="Y1074" s="11">
        <v>6</v>
      </c>
      <c r="Z1074" s="12">
        <f t="shared" si="217"/>
        <v>0</v>
      </c>
      <c r="AA1074" s="4" t="s">
        <v>212</v>
      </c>
      <c r="AC1074" s="176">
        <f t="shared" si="213"/>
        <v>4.5454545454545452E-3</v>
      </c>
    </row>
    <row r="1075" spans="2:29">
      <c r="B1075" s="183">
        <f t="shared" si="218"/>
        <v>35</v>
      </c>
      <c r="C1075" s="107" t="str">
        <f t="shared" si="219"/>
        <v>ATK</v>
      </c>
      <c r="D1075" s="2" t="s">
        <v>3049</v>
      </c>
      <c r="E1075" s="3">
        <v>44035</v>
      </c>
      <c r="F1075" s="3">
        <v>44067</v>
      </c>
      <c r="G1075" s="108">
        <f t="shared" si="220"/>
        <v>8</v>
      </c>
      <c r="H1075" s="108" t="str">
        <f t="shared" si="221"/>
        <v>완료</v>
      </c>
      <c r="I1075" s="112" t="s">
        <v>514</v>
      </c>
      <c r="J1075" s="4" t="s">
        <v>121</v>
      </c>
      <c r="K1075" s="5" t="s">
        <v>229</v>
      </c>
      <c r="L1075" s="6" t="str">
        <f t="shared" si="216"/>
        <v>5T2</v>
      </c>
      <c r="M1075" s="13" t="s">
        <v>2984</v>
      </c>
      <c r="N1075" s="7" t="s">
        <v>3914</v>
      </c>
      <c r="O1075" s="13" t="s">
        <v>3050</v>
      </c>
      <c r="P1075" s="115"/>
      <c r="Q1075" s="8"/>
      <c r="R1075" s="2">
        <v>1</v>
      </c>
      <c r="S1075" s="9">
        <v>2700</v>
      </c>
      <c r="T1075" s="10">
        <f t="shared" si="215"/>
        <v>1350</v>
      </c>
      <c r="U1075" s="9">
        <v>850</v>
      </c>
      <c r="V1075" s="10">
        <f t="shared" si="214"/>
        <v>500</v>
      </c>
      <c r="W1075" s="4" t="s">
        <v>123</v>
      </c>
      <c r="X1075" s="2" t="s">
        <v>29</v>
      </c>
      <c r="Y1075" s="11">
        <v>2</v>
      </c>
      <c r="Z1075" s="12">
        <f t="shared" si="217"/>
        <v>32</v>
      </c>
      <c r="AA1075" s="4" t="s">
        <v>117</v>
      </c>
      <c r="AC1075" s="176">
        <f t="shared" ref="AC1075:AC1137" si="232">U1075/1100</f>
        <v>0.77272727272727271</v>
      </c>
    </row>
    <row r="1076" spans="2:29">
      <c r="B1076" s="183">
        <f t="shared" si="218"/>
        <v>30</v>
      </c>
      <c r="C1076" s="107" t="str">
        <f t="shared" si="219"/>
        <v>ATK</v>
      </c>
      <c r="D1076" s="2" t="s">
        <v>1023</v>
      </c>
      <c r="E1076" s="3">
        <v>44035</v>
      </c>
      <c r="F1076" s="3">
        <v>44035</v>
      </c>
      <c r="G1076" s="108">
        <f t="shared" si="220"/>
        <v>7</v>
      </c>
      <c r="H1076" s="108" t="str">
        <f t="shared" si="221"/>
        <v>완료</v>
      </c>
      <c r="I1076" s="112" t="s">
        <v>218</v>
      </c>
      <c r="J1076" s="4" t="s">
        <v>127</v>
      </c>
      <c r="K1076" s="5" t="s">
        <v>135</v>
      </c>
      <c r="L1076" s="6" t="str">
        <f t="shared" si="216"/>
        <v>1T3</v>
      </c>
      <c r="M1076" s="13" t="s">
        <v>3051</v>
      </c>
      <c r="N1076" s="7" t="s">
        <v>3875</v>
      </c>
      <c r="O1076" s="13" t="s">
        <v>1440</v>
      </c>
      <c r="P1076" s="115"/>
      <c r="Q1076" s="8"/>
      <c r="R1076" s="2">
        <v>4</v>
      </c>
      <c r="S1076" s="9">
        <v>500</v>
      </c>
      <c r="T1076" s="10">
        <f t="shared" si="215"/>
        <v>1000</v>
      </c>
      <c r="U1076" s="9">
        <v>5</v>
      </c>
      <c r="V1076" s="10">
        <f t="shared" si="214"/>
        <v>995</v>
      </c>
      <c r="W1076" s="4" t="s">
        <v>122</v>
      </c>
      <c r="X1076" s="2"/>
      <c r="Y1076" s="11">
        <v>7</v>
      </c>
      <c r="Z1076" s="12">
        <f t="shared" si="217"/>
        <v>0</v>
      </c>
      <c r="AA1076" s="4" t="s">
        <v>259</v>
      </c>
      <c r="AC1076" s="176">
        <f t="shared" si="232"/>
        <v>4.5454545454545452E-3</v>
      </c>
    </row>
    <row r="1077" spans="2:29">
      <c r="B1077" s="183">
        <f t="shared" si="218"/>
        <v>30</v>
      </c>
      <c r="C1077" s="107" t="str">
        <f t="shared" si="219"/>
        <v>ATK</v>
      </c>
      <c r="D1077" s="2" t="s">
        <v>3053</v>
      </c>
      <c r="E1077" s="3">
        <v>44035</v>
      </c>
      <c r="F1077" s="3">
        <v>44036</v>
      </c>
      <c r="G1077" s="108">
        <f t="shared" si="220"/>
        <v>7</v>
      </c>
      <c r="H1077" s="108" t="str">
        <f t="shared" si="221"/>
        <v>Other</v>
      </c>
      <c r="I1077" s="112" t="s">
        <v>3054</v>
      </c>
      <c r="J1077" s="4" t="s">
        <v>3055</v>
      </c>
      <c r="K1077" s="5" t="s">
        <v>3056</v>
      </c>
      <c r="L1077" s="6" t="str">
        <f t="shared" si="216"/>
        <v>EE2</v>
      </c>
      <c r="M1077" s="13" t="s">
        <v>3057</v>
      </c>
      <c r="N1077" s="7" t="s">
        <v>3915</v>
      </c>
      <c r="O1077" s="13" t="s">
        <v>3057</v>
      </c>
      <c r="P1077" s="115" t="s">
        <v>3058</v>
      </c>
      <c r="Q1077" s="8"/>
      <c r="R1077" s="2">
        <v>1</v>
      </c>
      <c r="S1077" s="9">
        <v>300</v>
      </c>
      <c r="T1077" s="10">
        <f t="shared" ref="T1077:T1103" si="233">(S1077*50)/100*R1077</f>
        <v>150</v>
      </c>
      <c r="U1077" s="9">
        <v>0</v>
      </c>
      <c r="V1077" s="10">
        <f t="shared" si="214"/>
        <v>150</v>
      </c>
      <c r="W1077" s="4" t="s">
        <v>3059</v>
      </c>
      <c r="X1077" s="2"/>
      <c r="Y1077" s="11">
        <v>2</v>
      </c>
      <c r="Z1077" s="12">
        <f t="shared" si="217"/>
        <v>1</v>
      </c>
      <c r="AA1077" s="4" t="s">
        <v>3060</v>
      </c>
      <c r="AC1077" s="176">
        <f t="shared" si="232"/>
        <v>0</v>
      </c>
    </row>
    <row r="1078" spans="2:29">
      <c r="B1078" s="183">
        <f t="shared" si="218"/>
        <v>30</v>
      </c>
      <c r="C1078" s="107" t="str">
        <f t="shared" si="219"/>
        <v>ATK</v>
      </c>
      <c r="D1078" s="2" t="s">
        <v>3061</v>
      </c>
      <c r="E1078" s="3">
        <v>44036</v>
      </c>
      <c r="F1078" s="3">
        <v>44036</v>
      </c>
      <c r="G1078" s="108">
        <f t="shared" si="220"/>
        <v>7</v>
      </c>
      <c r="H1078" s="108" t="str">
        <f t="shared" si="221"/>
        <v>완료</v>
      </c>
      <c r="I1078" s="112" t="s">
        <v>218</v>
      </c>
      <c r="J1078" s="4" t="s">
        <v>127</v>
      </c>
      <c r="K1078" s="5" t="s">
        <v>131</v>
      </c>
      <c r="L1078" s="6" t="str">
        <f t="shared" si="216"/>
        <v>1T4</v>
      </c>
      <c r="M1078" s="13" t="s">
        <v>934</v>
      </c>
      <c r="N1078" s="7" t="s">
        <v>3916</v>
      </c>
      <c r="O1078" s="13" t="s">
        <v>3062</v>
      </c>
      <c r="P1078" s="115" t="s">
        <v>3063</v>
      </c>
      <c r="Q1078" s="8"/>
      <c r="R1078" s="2">
        <v>1</v>
      </c>
      <c r="S1078" s="9">
        <v>700</v>
      </c>
      <c r="T1078" s="10">
        <f t="shared" si="233"/>
        <v>350</v>
      </c>
      <c r="U1078" s="9">
        <v>1</v>
      </c>
      <c r="V1078" s="10">
        <f t="shared" ref="V1078:V1079" si="234">T1078-U1078</f>
        <v>349</v>
      </c>
      <c r="W1078" s="4" t="s">
        <v>122</v>
      </c>
      <c r="X1078" s="2"/>
      <c r="Y1078" s="11">
        <v>4</v>
      </c>
      <c r="Z1078" s="12">
        <f t="shared" si="217"/>
        <v>0</v>
      </c>
      <c r="AA1078" s="4" t="s">
        <v>120</v>
      </c>
      <c r="AC1078" s="176">
        <f t="shared" si="232"/>
        <v>9.0909090909090909E-4</v>
      </c>
    </row>
    <row r="1079" spans="2:29">
      <c r="B1079" s="183">
        <f t="shared" si="218"/>
        <v>30</v>
      </c>
      <c r="C1079" s="107" t="str">
        <f t="shared" si="219"/>
        <v>ATK</v>
      </c>
      <c r="D1079" s="2" t="s">
        <v>3064</v>
      </c>
      <c r="E1079" s="3">
        <v>44036</v>
      </c>
      <c r="F1079" s="3">
        <v>44036</v>
      </c>
      <c r="G1079" s="108">
        <f t="shared" si="220"/>
        <v>7</v>
      </c>
      <c r="H1079" s="108" t="str">
        <f t="shared" si="221"/>
        <v>완료</v>
      </c>
      <c r="I1079" s="112" t="s">
        <v>218</v>
      </c>
      <c r="J1079" s="4" t="s">
        <v>121</v>
      </c>
      <c r="K1079" s="5" t="s">
        <v>3065</v>
      </c>
      <c r="L1079" s="6" t="str">
        <f t="shared" si="216"/>
        <v>5T3</v>
      </c>
      <c r="M1079" s="13"/>
      <c r="N1079" s="7" t="s">
        <v>3509</v>
      </c>
      <c r="O1079" s="13" t="s">
        <v>284</v>
      </c>
      <c r="P1079" s="115" t="s">
        <v>3066</v>
      </c>
      <c r="Q1079" s="8"/>
      <c r="R1079" s="2">
        <v>2</v>
      </c>
      <c r="S1079" s="9">
        <v>1200</v>
      </c>
      <c r="T1079" s="10">
        <f t="shared" si="233"/>
        <v>1200</v>
      </c>
      <c r="U1079" s="9">
        <v>10</v>
      </c>
      <c r="V1079" s="10">
        <f t="shared" si="234"/>
        <v>1190</v>
      </c>
      <c r="W1079" s="4" t="s">
        <v>122</v>
      </c>
      <c r="X1079" s="2"/>
      <c r="Y1079" s="11">
        <v>6</v>
      </c>
      <c r="Z1079" s="12">
        <f t="shared" si="217"/>
        <v>0</v>
      </c>
      <c r="AA1079" s="4" t="s">
        <v>259</v>
      </c>
      <c r="AC1079" s="176">
        <f t="shared" si="232"/>
        <v>9.0909090909090905E-3</v>
      </c>
    </row>
    <row r="1080" spans="2:29">
      <c r="B1080" s="183">
        <f t="shared" si="218"/>
        <v>30</v>
      </c>
      <c r="C1080" s="107" t="str">
        <f t="shared" si="219"/>
        <v>ATK</v>
      </c>
      <c r="D1080" s="2" t="s">
        <v>3067</v>
      </c>
      <c r="E1080" s="3">
        <v>44036</v>
      </c>
      <c r="F1080" s="3">
        <v>44036</v>
      </c>
      <c r="G1080" s="108">
        <f t="shared" si="220"/>
        <v>7</v>
      </c>
      <c r="H1080" s="108" t="str">
        <f t="shared" si="221"/>
        <v>완료</v>
      </c>
      <c r="I1080" s="112" t="s">
        <v>218</v>
      </c>
      <c r="J1080" s="4" t="s">
        <v>3068</v>
      </c>
      <c r="K1080" s="5" t="s">
        <v>3069</v>
      </c>
      <c r="L1080" s="6" t="str">
        <f t="shared" si="216"/>
        <v>EE2</v>
      </c>
      <c r="M1080" s="13" t="s">
        <v>256</v>
      </c>
      <c r="N1080" s="7" t="s">
        <v>3529</v>
      </c>
      <c r="O1080" s="13" t="s">
        <v>1782</v>
      </c>
      <c r="P1080" s="115" t="s">
        <v>3070</v>
      </c>
      <c r="Q1080" s="8"/>
      <c r="R1080" s="2">
        <v>1</v>
      </c>
      <c r="S1080" s="9">
        <v>4500</v>
      </c>
      <c r="T1080" s="10">
        <f t="shared" si="233"/>
        <v>2250</v>
      </c>
      <c r="U1080" s="9">
        <v>50</v>
      </c>
      <c r="V1080" s="10">
        <f t="shared" ref="V1080:V1103" si="235">T1080-U1080</f>
        <v>2200</v>
      </c>
      <c r="W1080" s="4" t="s">
        <v>122</v>
      </c>
      <c r="X1080" s="2"/>
      <c r="Y1080" s="11">
        <v>2</v>
      </c>
      <c r="Z1080" s="12">
        <f t="shared" si="217"/>
        <v>0</v>
      </c>
      <c r="AA1080" s="4" t="s">
        <v>3071</v>
      </c>
      <c r="AC1080" s="176">
        <f t="shared" si="232"/>
        <v>4.5454545454545456E-2</v>
      </c>
    </row>
    <row r="1081" spans="2:29">
      <c r="B1081" s="183">
        <f t="shared" si="218"/>
        <v>31</v>
      </c>
      <c r="C1081" s="107" t="str">
        <f t="shared" si="219"/>
        <v>ATK</v>
      </c>
      <c r="D1081" s="2" t="s">
        <v>3072</v>
      </c>
      <c r="E1081" s="3">
        <v>44036</v>
      </c>
      <c r="F1081" s="3">
        <v>44043</v>
      </c>
      <c r="G1081" s="108">
        <f t="shared" si="220"/>
        <v>7</v>
      </c>
      <c r="H1081" s="108" t="str">
        <f t="shared" si="221"/>
        <v>수리불가</v>
      </c>
      <c r="I1081" s="112" t="s">
        <v>601</v>
      </c>
      <c r="J1081" s="4" t="s">
        <v>3068</v>
      </c>
      <c r="K1081" s="5" t="s">
        <v>3073</v>
      </c>
      <c r="L1081" s="6" t="str">
        <f t="shared" si="216"/>
        <v>EE1</v>
      </c>
      <c r="M1081" s="13" t="s">
        <v>216</v>
      </c>
      <c r="N1081" s="7" t="s">
        <v>3484</v>
      </c>
      <c r="O1081" s="13" t="s">
        <v>3074</v>
      </c>
      <c r="P1081" s="115" t="s">
        <v>330</v>
      </c>
      <c r="Q1081" s="8"/>
      <c r="R1081" s="2">
        <v>2</v>
      </c>
      <c r="S1081" s="9">
        <v>5000</v>
      </c>
      <c r="T1081" s="10">
        <f t="shared" si="233"/>
        <v>5000</v>
      </c>
      <c r="U1081" s="9">
        <v>0</v>
      </c>
      <c r="V1081" s="10">
        <f t="shared" si="235"/>
        <v>5000</v>
      </c>
      <c r="W1081" s="4" t="s">
        <v>122</v>
      </c>
      <c r="X1081" s="2"/>
      <c r="Y1081" s="11">
        <v>6</v>
      </c>
      <c r="Z1081" s="12">
        <f t="shared" si="217"/>
        <v>7</v>
      </c>
      <c r="AA1081" s="4" t="s">
        <v>3075</v>
      </c>
      <c r="AC1081" s="176">
        <f t="shared" si="232"/>
        <v>0</v>
      </c>
    </row>
    <row r="1082" spans="2:29">
      <c r="B1082" s="183">
        <f t="shared" si="218"/>
        <v>31</v>
      </c>
      <c r="C1082" s="107" t="str">
        <f t="shared" si="219"/>
        <v>ATK</v>
      </c>
      <c r="D1082" s="2" t="s">
        <v>3076</v>
      </c>
      <c r="E1082" s="3">
        <v>44035</v>
      </c>
      <c r="F1082" s="3">
        <v>44039</v>
      </c>
      <c r="G1082" s="108">
        <f t="shared" si="220"/>
        <v>7</v>
      </c>
      <c r="H1082" s="108" t="str">
        <f t="shared" si="221"/>
        <v>완료</v>
      </c>
      <c r="I1082" s="112" t="s">
        <v>218</v>
      </c>
      <c r="J1082" s="4" t="s">
        <v>127</v>
      </c>
      <c r="K1082" s="5" t="s">
        <v>131</v>
      </c>
      <c r="L1082" s="6" t="str">
        <f t="shared" si="216"/>
        <v>1T4</v>
      </c>
      <c r="M1082" s="13" t="s">
        <v>3077</v>
      </c>
      <c r="N1082" s="7" t="s">
        <v>3917</v>
      </c>
      <c r="O1082" s="13" t="s">
        <v>2782</v>
      </c>
      <c r="P1082" s="115" t="s">
        <v>3078</v>
      </c>
      <c r="Q1082" s="8" t="s">
        <v>3079</v>
      </c>
      <c r="R1082" s="2">
        <v>1</v>
      </c>
      <c r="S1082" s="9">
        <v>550</v>
      </c>
      <c r="T1082" s="10">
        <f t="shared" si="233"/>
        <v>275</v>
      </c>
      <c r="U1082" s="9">
        <v>1</v>
      </c>
      <c r="V1082" s="10">
        <f t="shared" si="235"/>
        <v>274</v>
      </c>
      <c r="W1082" s="4" t="s">
        <v>122</v>
      </c>
      <c r="X1082" s="2"/>
      <c r="Y1082" s="11">
        <v>3</v>
      </c>
      <c r="Z1082" s="12">
        <f t="shared" si="217"/>
        <v>4</v>
      </c>
      <c r="AA1082" s="4" t="s">
        <v>120</v>
      </c>
      <c r="AC1082" s="176">
        <f t="shared" si="232"/>
        <v>9.0909090909090909E-4</v>
      </c>
    </row>
    <row r="1083" spans="2:29">
      <c r="B1083" s="183">
        <f t="shared" si="218"/>
        <v>31</v>
      </c>
      <c r="C1083" s="107" t="str">
        <f t="shared" si="219"/>
        <v>ATK</v>
      </c>
      <c r="D1083" s="2" t="s">
        <v>1010</v>
      </c>
      <c r="E1083" s="3">
        <v>44035</v>
      </c>
      <c r="F1083" s="3">
        <v>44039</v>
      </c>
      <c r="G1083" s="108">
        <f t="shared" si="220"/>
        <v>7</v>
      </c>
      <c r="H1083" s="108" t="str">
        <f t="shared" si="221"/>
        <v>완료</v>
      </c>
      <c r="I1083" s="112" t="s">
        <v>218</v>
      </c>
      <c r="J1083" s="4" t="s">
        <v>127</v>
      </c>
      <c r="K1083" s="5" t="s">
        <v>131</v>
      </c>
      <c r="L1083" s="6" t="str">
        <f t="shared" si="216"/>
        <v>1T4</v>
      </c>
      <c r="M1083" s="13" t="s">
        <v>913</v>
      </c>
      <c r="N1083" s="7" t="s">
        <v>3917</v>
      </c>
      <c r="O1083" s="13" t="s">
        <v>2782</v>
      </c>
      <c r="P1083" s="115" t="s">
        <v>3078</v>
      </c>
      <c r="Q1083" s="8" t="s">
        <v>3080</v>
      </c>
      <c r="R1083" s="2">
        <v>1</v>
      </c>
      <c r="S1083" s="9">
        <v>550</v>
      </c>
      <c r="T1083" s="10">
        <f t="shared" ref="T1083" si="236">(S1083*50)/100*R1083</f>
        <v>275</v>
      </c>
      <c r="U1083" s="9">
        <v>1</v>
      </c>
      <c r="V1083" s="10">
        <f t="shared" ref="V1083" si="237">T1083-U1083</f>
        <v>274</v>
      </c>
      <c r="W1083" s="4" t="s">
        <v>122</v>
      </c>
      <c r="X1083" s="2"/>
      <c r="Y1083" s="11">
        <v>3</v>
      </c>
      <c r="Z1083" s="12">
        <f t="shared" si="217"/>
        <v>4</v>
      </c>
      <c r="AA1083" s="4" t="s">
        <v>120</v>
      </c>
      <c r="AC1083" s="176">
        <f t="shared" si="232"/>
        <v>9.0909090909090909E-4</v>
      </c>
    </row>
    <row r="1084" spans="2:29">
      <c r="B1084" s="183">
        <f t="shared" si="218"/>
        <v>31</v>
      </c>
      <c r="C1084" s="107" t="str">
        <f t="shared" si="219"/>
        <v>ATK</v>
      </c>
      <c r="D1084" s="2" t="s">
        <v>199</v>
      </c>
      <c r="E1084" s="3">
        <v>44035</v>
      </c>
      <c r="F1084" s="3">
        <v>44039</v>
      </c>
      <c r="G1084" s="108">
        <f t="shared" si="220"/>
        <v>7</v>
      </c>
      <c r="H1084" s="108" t="str">
        <f t="shared" si="221"/>
        <v>완료</v>
      </c>
      <c r="I1084" s="112" t="s">
        <v>218</v>
      </c>
      <c r="J1084" s="4" t="s">
        <v>173</v>
      </c>
      <c r="K1084" s="5" t="s">
        <v>128</v>
      </c>
      <c r="L1084" s="6" t="str">
        <f t="shared" si="216"/>
        <v>1T1</v>
      </c>
      <c r="M1084" s="13" t="s">
        <v>3081</v>
      </c>
      <c r="N1084" s="7" t="s">
        <v>3763</v>
      </c>
      <c r="O1084" s="13" t="s">
        <v>3082</v>
      </c>
      <c r="P1084" s="115" t="s">
        <v>2596</v>
      </c>
      <c r="Q1084" s="8" t="s">
        <v>3083</v>
      </c>
      <c r="R1084" s="2">
        <v>1</v>
      </c>
      <c r="S1084" s="9">
        <v>351</v>
      </c>
      <c r="T1084" s="10">
        <f t="shared" si="233"/>
        <v>175.5</v>
      </c>
      <c r="U1084" s="9">
        <v>10</v>
      </c>
      <c r="V1084" s="10">
        <f t="shared" si="235"/>
        <v>165.5</v>
      </c>
      <c r="W1084" s="4" t="s">
        <v>122</v>
      </c>
      <c r="X1084" s="2"/>
      <c r="Y1084" s="11">
        <v>2</v>
      </c>
      <c r="Z1084" s="12">
        <f t="shared" si="217"/>
        <v>4</v>
      </c>
      <c r="AA1084" s="4" t="s">
        <v>174</v>
      </c>
      <c r="AC1084" s="176">
        <f t="shared" si="232"/>
        <v>9.0909090909090905E-3</v>
      </c>
    </row>
    <row r="1085" spans="2:29">
      <c r="B1085" s="183">
        <f t="shared" si="218"/>
        <v>31</v>
      </c>
      <c r="C1085" s="107" t="str">
        <f t="shared" si="219"/>
        <v>ATK</v>
      </c>
      <c r="D1085" s="2" t="s">
        <v>1010</v>
      </c>
      <c r="E1085" s="3">
        <v>44035</v>
      </c>
      <c r="F1085" s="3">
        <v>44040</v>
      </c>
      <c r="G1085" s="108">
        <f t="shared" si="220"/>
        <v>7</v>
      </c>
      <c r="H1085" s="108" t="str">
        <f t="shared" si="221"/>
        <v>완료</v>
      </c>
      <c r="I1085" s="112" t="s">
        <v>218</v>
      </c>
      <c r="J1085" s="4" t="s">
        <v>127</v>
      </c>
      <c r="K1085" s="5" t="s">
        <v>131</v>
      </c>
      <c r="L1085" s="6" t="str">
        <f t="shared" si="216"/>
        <v>1T4</v>
      </c>
      <c r="M1085" s="13" t="s">
        <v>913</v>
      </c>
      <c r="N1085" s="7" t="s">
        <v>3917</v>
      </c>
      <c r="O1085" s="13" t="s">
        <v>2782</v>
      </c>
      <c r="P1085" s="115" t="s">
        <v>3084</v>
      </c>
      <c r="Q1085" s="8" t="s">
        <v>3087</v>
      </c>
      <c r="R1085" s="2">
        <v>1</v>
      </c>
      <c r="S1085" s="9">
        <v>550</v>
      </c>
      <c r="T1085" s="10">
        <f t="shared" si="233"/>
        <v>275</v>
      </c>
      <c r="U1085" s="9">
        <v>1</v>
      </c>
      <c r="V1085" s="10">
        <f t="shared" si="235"/>
        <v>274</v>
      </c>
      <c r="W1085" s="4" t="s">
        <v>122</v>
      </c>
      <c r="X1085" s="2"/>
      <c r="Y1085" s="11">
        <v>3</v>
      </c>
      <c r="Z1085" s="12">
        <f t="shared" si="217"/>
        <v>5</v>
      </c>
      <c r="AA1085" s="4" t="s">
        <v>120</v>
      </c>
      <c r="AC1085" s="176">
        <f t="shared" si="232"/>
        <v>9.0909090909090909E-4</v>
      </c>
    </row>
    <row r="1086" spans="2:29">
      <c r="B1086" s="183">
        <f t="shared" si="218"/>
        <v>31</v>
      </c>
      <c r="C1086" s="107" t="str">
        <f t="shared" si="219"/>
        <v>ATK</v>
      </c>
      <c r="D1086" s="2" t="s">
        <v>1010</v>
      </c>
      <c r="E1086" s="3">
        <v>44035</v>
      </c>
      <c r="F1086" s="3">
        <v>44040</v>
      </c>
      <c r="G1086" s="108">
        <f t="shared" si="220"/>
        <v>7</v>
      </c>
      <c r="H1086" s="108" t="str">
        <f t="shared" si="221"/>
        <v>완료</v>
      </c>
      <c r="I1086" s="112" t="s">
        <v>218</v>
      </c>
      <c r="J1086" s="4" t="s">
        <v>127</v>
      </c>
      <c r="K1086" s="5" t="s">
        <v>131</v>
      </c>
      <c r="L1086" s="6" t="str">
        <f t="shared" si="216"/>
        <v>1T4</v>
      </c>
      <c r="M1086" s="13" t="s">
        <v>913</v>
      </c>
      <c r="N1086" s="7" t="s">
        <v>3917</v>
      </c>
      <c r="O1086" s="13" t="s">
        <v>2782</v>
      </c>
      <c r="P1086" s="115" t="s">
        <v>3085</v>
      </c>
      <c r="Q1086" s="8" t="s">
        <v>3086</v>
      </c>
      <c r="R1086" s="2">
        <v>1</v>
      </c>
      <c r="S1086" s="9">
        <v>550</v>
      </c>
      <c r="T1086" s="10">
        <f t="shared" si="233"/>
        <v>275</v>
      </c>
      <c r="U1086" s="9">
        <v>1</v>
      </c>
      <c r="V1086" s="10">
        <f t="shared" si="235"/>
        <v>274</v>
      </c>
      <c r="W1086" s="4" t="s">
        <v>122</v>
      </c>
      <c r="X1086" s="2"/>
      <c r="Y1086" s="11">
        <v>3</v>
      </c>
      <c r="Z1086" s="12">
        <f t="shared" si="217"/>
        <v>5</v>
      </c>
      <c r="AA1086" s="4" t="s">
        <v>120</v>
      </c>
      <c r="AC1086" s="176">
        <f t="shared" si="232"/>
        <v>9.0909090909090909E-4</v>
      </c>
    </row>
    <row r="1087" spans="2:29">
      <c r="B1087" s="183">
        <f t="shared" si="218"/>
        <v>31</v>
      </c>
      <c r="C1087" s="107" t="str">
        <f t="shared" si="219"/>
        <v>ATK</v>
      </c>
      <c r="D1087" s="2" t="s">
        <v>3088</v>
      </c>
      <c r="E1087" s="3">
        <v>44039</v>
      </c>
      <c r="F1087" s="3">
        <v>44039</v>
      </c>
      <c r="G1087" s="108">
        <f t="shared" si="220"/>
        <v>7</v>
      </c>
      <c r="H1087" s="108" t="str">
        <f t="shared" si="221"/>
        <v>완료</v>
      </c>
      <c r="I1087" s="112" t="s">
        <v>218</v>
      </c>
      <c r="J1087" s="4" t="s">
        <v>118</v>
      </c>
      <c r="K1087" s="5" t="s">
        <v>134</v>
      </c>
      <c r="L1087" s="6" t="str">
        <f t="shared" si="216"/>
        <v>2T1</v>
      </c>
      <c r="M1087" s="13" t="s">
        <v>3089</v>
      </c>
      <c r="N1087" s="7"/>
      <c r="O1087" s="13" t="s">
        <v>3090</v>
      </c>
      <c r="P1087" s="115"/>
      <c r="Q1087" s="8"/>
      <c r="R1087" s="2">
        <v>1</v>
      </c>
      <c r="S1087" s="9">
        <v>55</v>
      </c>
      <c r="T1087" s="10">
        <f t="shared" si="233"/>
        <v>27.5</v>
      </c>
      <c r="U1087" s="9">
        <v>7</v>
      </c>
      <c r="V1087" s="10">
        <f t="shared" si="235"/>
        <v>20.5</v>
      </c>
      <c r="W1087" s="4" t="s">
        <v>122</v>
      </c>
      <c r="X1087" s="2"/>
      <c r="Y1087" s="11">
        <v>2</v>
      </c>
      <c r="Z1087" s="12">
        <f t="shared" si="217"/>
        <v>0</v>
      </c>
      <c r="AA1087" s="4" t="s">
        <v>117</v>
      </c>
      <c r="AC1087" s="176">
        <f t="shared" si="232"/>
        <v>6.3636363636363638E-3</v>
      </c>
    </row>
    <row r="1088" spans="2:29">
      <c r="B1088" s="183">
        <f t="shared" si="218"/>
        <v>31</v>
      </c>
      <c r="C1088" s="107" t="str">
        <f t="shared" si="219"/>
        <v>ATK</v>
      </c>
      <c r="D1088" s="2" t="s">
        <v>2098</v>
      </c>
      <c r="E1088" s="3">
        <v>44035</v>
      </c>
      <c r="F1088" s="3">
        <v>44039</v>
      </c>
      <c r="G1088" s="108">
        <f t="shared" si="220"/>
        <v>7</v>
      </c>
      <c r="H1088" s="108" t="str">
        <f t="shared" si="221"/>
        <v>완료</v>
      </c>
      <c r="I1088" s="112" t="s">
        <v>264</v>
      </c>
      <c r="J1088" s="4" t="s">
        <v>804</v>
      </c>
      <c r="K1088" s="5" t="s">
        <v>1091</v>
      </c>
      <c r="L1088" s="6" t="str">
        <f t="shared" si="216"/>
        <v>5T2</v>
      </c>
      <c r="M1088" s="13" t="s">
        <v>299</v>
      </c>
      <c r="N1088" s="7" t="s">
        <v>3865</v>
      </c>
      <c r="O1088" s="13" t="s">
        <v>299</v>
      </c>
      <c r="P1088" s="115" t="s">
        <v>2550</v>
      </c>
      <c r="Q1088" s="8" t="s">
        <v>3091</v>
      </c>
      <c r="R1088" s="2">
        <v>1</v>
      </c>
      <c r="S1088" s="9">
        <v>710</v>
      </c>
      <c r="T1088" s="10">
        <f t="shared" si="233"/>
        <v>355</v>
      </c>
      <c r="U1088" s="9">
        <v>25</v>
      </c>
      <c r="V1088" s="10">
        <f t="shared" si="235"/>
        <v>330</v>
      </c>
      <c r="W1088" s="4" t="s">
        <v>249</v>
      </c>
      <c r="X1088" s="2"/>
      <c r="Y1088" s="11">
        <v>2</v>
      </c>
      <c r="Z1088" s="12">
        <f t="shared" si="217"/>
        <v>4</v>
      </c>
      <c r="AA1088" s="4" t="s">
        <v>174</v>
      </c>
      <c r="AC1088" s="176">
        <f t="shared" si="232"/>
        <v>2.2727272727272728E-2</v>
      </c>
    </row>
    <row r="1089" spans="2:29">
      <c r="B1089" s="183">
        <f t="shared" si="218"/>
        <v>31</v>
      </c>
      <c r="C1089" s="107" t="str">
        <f t="shared" si="219"/>
        <v>ATK</v>
      </c>
      <c r="D1089" s="2" t="s">
        <v>5410</v>
      </c>
      <c r="E1089" s="3">
        <v>44039</v>
      </c>
      <c r="F1089" s="3">
        <v>44039</v>
      </c>
      <c r="G1089" s="108">
        <f t="shared" si="220"/>
        <v>7</v>
      </c>
      <c r="H1089" s="108" t="str">
        <f t="shared" si="221"/>
        <v>완료</v>
      </c>
      <c r="I1089" s="112" t="s">
        <v>218</v>
      </c>
      <c r="J1089" s="4" t="s">
        <v>127</v>
      </c>
      <c r="K1089" s="5" t="s">
        <v>135</v>
      </c>
      <c r="L1089" s="6" t="str">
        <f t="shared" si="216"/>
        <v>1T3</v>
      </c>
      <c r="M1089" s="13" t="s">
        <v>3092</v>
      </c>
      <c r="N1089" s="7" t="s">
        <v>3918</v>
      </c>
      <c r="O1089" s="13" t="s">
        <v>3093</v>
      </c>
      <c r="P1089" s="115" t="s">
        <v>3094</v>
      </c>
      <c r="Q1089" s="8" t="s">
        <v>3095</v>
      </c>
      <c r="R1089" s="2">
        <v>1</v>
      </c>
      <c r="S1089" s="9">
        <v>250</v>
      </c>
      <c r="T1089" s="10">
        <f t="shared" si="233"/>
        <v>125</v>
      </c>
      <c r="U1089" s="9">
        <v>0</v>
      </c>
      <c r="V1089" s="10">
        <f t="shared" si="235"/>
        <v>125</v>
      </c>
      <c r="W1089" s="4" t="s">
        <v>122</v>
      </c>
      <c r="X1089" s="2"/>
      <c r="Y1089" s="11">
        <v>2</v>
      </c>
      <c r="Z1089" s="12">
        <f t="shared" si="217"/>
        <v>0</v>
      </c>
      <c r="AA1089" s="4" t="s">
        <v>120</v>
      </c>
      <c r="AC1089" s="176">
        <f t="shared" si="232"/>
        <v>0</v>
      </c>
    </row>
    <row r="1090" spans="2:29">
      <c r="B1090" s="183">
        <f t="shared" si="218"/>
        <v>31</v>
      </c>
      <c r="C1090" s="107" t="str">
        <f t="shared" si="219"/>
        <v>ATK</v>
      </c>
      <c r="D1090" s="2" t="s">
        <v>3096</v>
      </c>
      <c r="E1090" s="3">
        <v>44036</v>
      </c>
      <c r="F1090" s="3">
        <v>44039</v>
      </c>
      <c r="G1090" s="108">
        <f t="shared" si="220"/>
        <v>7</v>
      </c>
      <c r="H1090" s="108" t="str">
        <f t="shared" si="221"/>
        <v>완료</v>
      </c>
      <c r="I1090" s="112" t="s">
        <v>218</v>
      </c>
      <c r="J1090" s="4" t="s">
        <v>3097</v>
      </c>
      <c r="K1090" s="5" t="s">
        <v>3098</v>
      </c>
      <c r="L1090" s="6" t="str">
        <f t="shared" ref="L1090:L1152" si="238">LEFT(K1090,3)</f>
        <v>EE1</v>
      </c>
      <c r="M1090" s="13" t="s">
        <v>3099</v>
      </c>
      <c r="N1090" s="7" t="s">
        <v>3904</v>
      </c>
      <c r="O1090" s="13" t="s">
        <v>3100</v>
      </c>
      <c r="P1090" s="115" t="s">
        <v>3101</v>
      </c>
      <c r="Q1090" s="8"/>
      <c r="R1090" s="2">
        <v>1</v>
      </c>
      <c r="S1090" s="9">
        <v>2800</v>
      </c>
      <c r="T1090" s="10">
        <f t="shared" si="233"/>
        <v>1400</v>
      </c>
      <c r="U1090" s="9">
        <v>10</v>
      </c>
      <c r="V1090" s="10">
        <f t="shared" si="235"/>
        <v>1390</v>
      </c>
      <c r="W1090" s="4" t="s">
        <v>122</v>
      </c>
      <c r="X1090" s="2"/>
      <c r="Y1090" s="11">
        <v>4</v>
      </c>
      <c r="Z1090" s="12">
        <f t="shared" ref="Z1090:Z1152" si="239">F1090-E1090</f>
        <v>3</v>
      </c>
      <c r="AA1090" s="4" t="s">
        <v>3102</v>
      </c>
      <c r="AC1090" s="176">
        <f t="shared" si="232"/>
        <v>9.0909090909090905E-3</v>
      </c>
    </row>
    <row r="1091" spans="2:29">
      <c r="B1091" s="183">
        <f t="shared" ref="B1091:B1154" si="240">IF(F1091&gt;0,IFERROR(WEEKNUM(F1091),""),"")</f>
        <v>33</v>
      </c>
      <c r="C1091" s="107" t="str">
        <f t="shared" ref="C1091:C1154" si="241">IF(D1091=0,"",(IF(LEFT(D1091,3)="ATK","ATK",IF(LEFT(D1091,2)="AT",D1091,"ATK"))))</f>
        <v>ATK</v>
      </c>
      <c r="D1091" s="2" t="s">
        <v>3103</v>
      </c>
      <c r="E1091" s="3">
        <v>44039</v>
      </c>
      <c r="F1091" s="3">
        <v>44054</v>
      </c>
      <c r="G1091" s="108">
        <f t="shared" ref="G1091:G1154" si="242">IF(F1091&gt;0,MONTH(F1091),"")</f>
        <v>8</v>
      </c>
      <c r="H1091" s="108" t="str">
        <f t="shared" ref="H1091:H1154" si="243">IF(I1091=0,"",IF(RIGHT(I1091,2)="완료","완료",IF(RIGHT(I1091,2)="불가","수리불가",IF(RIGHT(I1091,1)="중","수리중","Other"))))</f>
        <v>완료</v>
      </c>
      <c r="I1091" s="112" t="s">
        <v>514</v>
      </c>
      <c r="J1091" s="4" t="s">
        <v>121</v>
      </c>
      <c r="K1091" s="5" t="s">
        <v>136</v>
      </c>
      <c r="L1091" s="6" t="str">
        <f t="shared" si="238"/>
        <v>5T1</v>
      </c>
      <c r="M1091" s="13" t="s">
        <v>3104</v>
      </c>
      <c r="N1091" s="7" t="s">
        <v>3919</v>
      </c>
      <c r="O1091" s="115" t="s">
        <v>3106</v>
      </c>
      <c r="P1091" s="115" t="s">
        <v>500</v>
      </c>
      <c r="Q1091" s="8" t="s">
        <v>3187</v>
      </c>
      <c r="R1091" s="2">
        <v>1</v>
      </c>
      <c r="S1091" s="9">
        <v>4200</v>
      </c>
      <c r="T1091" s="10">
        <f t="shared" si="233"/>
        <v>2100</v>
      </c>
      <c r="U1091" s="9">
        <v>700</v>
      </c>
      <c r="V1091" s="10">
        <f t="shared" si="235"/>
        <v>1400</v>
      </c>
      <c r="W1091" s="4" t="s">
        <v>123</v>
      </c>
      <c r="X1091" s="2" t="s">
        <v>29</v>
      </c>
      <c r="Y1091" s="11">
        <v>2</v>
      </c>
      <c r="Z1091" s="12">
        <f t="shared" si="239"/>
        <v>15</v>
      </c>
      <c r="AA1091" s="4" t="s">
        <v>117</v>
      </c>
      <c r="AC1091" s="176">
        <f t="shared" si="232"/>
        <v>0.63636363636363635</v>
      </c>
    </row>
    <row r="1092" spans="2:29">
      <c r="B1092" s="183">
        <f t="shared" si="240"/>
        <v>31</v>
      </c>
      <c r="C1092" s="107" t="str">
        <f t="shared" si="241"/>
        <v>ATK</v>
      </c>
      <c r="D1092" s="2" t="s">
        <v>1096</v>
      </c>
      <c r="E1092" s="3">
        <v>44035</v>
      </c>
      <c r="F1092" s="3">
        <v>44039</v>
      </c>
      <c r="G1092" s="108">
        <f t="shared" si="242"/>
        <v>7</v>
      </c>
      <c r="H1092" s="108" t="str">
        <f t="shared" si="243"/>
        <v>완료</v>
      </c>
      <c r="I1092" s="112" t="s">
        <v>264</v>
      </c>
      <c r="J1092" s="4" t="s">
        <v>804</v>
      </c>
      <c r="K1092" s="5" t="s">
        <v>1091</v>
      </c>
      <c r="L1092" s="6" t="str">
        <f t="shared" si="238"/>
        <v>5T2</v>
      </c>
      <c r="M1092" s="13" t="s">
        <v>299</v>
      </c>
      <c r="N1092" s="7" t="s">
        <v>3519</v>
      </c>
      <c r="O1092" s="13" t="s">
        <v>299</v>
      </c>
      <c r="P1092" s="115" t="s">
        <v>2550</v>
      </c>
      <c r="Q1092" s="8" t="s">
        <v>3105</v>
      </c>
      <c r="R1092" s="2">
        <v>1</v>
      </c>
      <c r="S1092" s="9">
        <v>910</v>
      </c>
      <c r="T1092" s="10">
        <f t="shared" ref="T1092" si="244">(S1092*50)/100*R1092</f>
        <v>455</v>
      </c>
      <c r="U1092" s="9">
        <v>50</v>
      </c>
      <c r="V1092" s="10">
        <f t="shared" ref="V1092" si="245">T1092-U1092</f>
        <v>405</v>
      </c>
      <c r="W1092" s="4" t="s">
        <v>249</v>
      </c>
      <c r="X1092" s="2"/>
      <c r="Y1092" s="11">
        <v>2</v>
      </c>
      <c r="Z1092" s="12">
        <f t="shared" si="239"/>
        <v>4</v>
      </c>
      <c r="AA1092" s="4" t="s">
        <v>174</v>
      </c>
      <c r="AC1092" s="176">
        <f t="shared" si="232"/>
        <v>4.5454545454545456E-2</v>
      </c>
    </row>
    <row r="1093" spans="2:29">
      <c r="B1093" s="183">
        <f t="shared" si="240"/>
        <v>31</v>
      </c>
      <c r="C1093" s="107" t="str">
        <f t="shared" si="241"/>
        <v>ATK</v>
      </c>
      <c r="D1093" s="2" t="s">
        <v>3107</v>
      </c>
      <c r="E1093" s="3">
        <v>44039</v>
      </c>
      <c r="F1093" s="3">
        <v>44040</v>
      </c>
      <c r="G1093" s="108">
        <f t="shared" si="242"/>
        <v>7</v>
      </c>
      <c r="H1093" s="108" t="str">
        <f t="shared" si="243"/>
        <v>완료</v>
      </c>
      <c r="I1093" s="112" t="s">
        <v>3108</v>
      </c>
      <c r="J1093" s="4" t="s">
        <v>3109</v>
      </c>
      <c r="K1093" s="5" t="s">
        <v>3110</v>
      </c>
      <c r="L1093" s="6" t="str">
        <f t="shared" si="238"/>
        <v>5T1</v>
      </c>
      <c r="M1093" s="13" t="s">
        <v>299</v>
      </c>
      <c r="N1093" s="7" t="s">
        <v>3631</v>
      </c>
      <c r="O1093" s="13" t="s">
        <v>270</v>
      </c>
      <c r="P1093" s="115" t="s">
        <v>2596</v>
      </c>
      <c r="Q1093" s="8" t="s">
        <v>3113</v>
      </c>
      <c r="R1093" s="2">
        <v>1</v>
      </c>
      <c r="S1093" s="9">
        <v>710</v>
      </c>
      <c r="T1093" s="10">
        <f t="shared" si="233"/>
        <v>355</v>
      </c>
      <c r="U1093" s="9">
        <v>25</v>
      </c>
      <c r="V1093" s="10">
        <f t="shared" si="235"/>
        <v>330</v>
      </c>
      <c r="W1093" s="4" t="s">
        <v>3111</v>
      </c>
      <c r="X1093" s="2"/>
      <c r="Y1093" s="11">
        <v>2</v>
      </c>
      <c r="Z1093" s="12">
        <f t="shared" si="239"/>
        <v>1</v>
      </c>
      <c r="AA1093" s="4" t="s">
        <v>3112</v>
      </c>
      <c r="AC1093" s="176">
        <f t="shared" si="232"/>
        <v>2.2727272727272728E-2</v>
      </c>
    </row>
    <row r="1094" spans="2:29">
      <c r="B1094" s="183">
        <f t="shared" si="240"/>
        <v>31</v>
      </c>
      <c r="C1094" s="107" t="str">
        <f t="shared" si="241"/>
        <v>ATK</v>
      </c>
      <c r="D1094" s="2" t="s">
        <v>3114</v>
      </c>
      <c r="E1094" s="3">
        <v>44040</v>
      </c>
      <c r="F1094" s="3">
        <v>44040</v>
      </c>
      <c r="G1094" s="108">
        <f t="shared" si="242"/>
        <v>7</v>
      </c>
      <c r="H1094" s="108" t="str">
        <f t="shared" si="243"/>
        <v>완료</v>
      </c>
      <c r="I1094" s="112" t="s">
        <v>264</v>
      </c>
      <c r="J1094" s="4" t="s">
        <v>3115</v>
      </c>
      <c r="K1094" s="5" t="s">
        <v>3116</v>
      </c>
      <c r="L1094" s="6" t="str">
        <f t="shared" si="238"/>
        <v>1T4</v>
      </c>
      <c r="M1094" s="13" t="s">
        <v>3117</v>
      </c>
      <c r="N1094" s="7" t="s">
        <v>3920</v>
      </c>
      <c r="O1094" s="13" t="s">
        <v>3118</v>
      </c>
      <c r="P1094" s="115" t="s">
        <v>3119</v>
      </c>
      <c r="Q1094" s="8"/>
      <c r="R1094" s="2">
        <v>1</v>
      </c>
      <c r="S1094" s="9">
        <v>1300</v>
      </c>
      <c r="T1094" s="10">
        <f t="shared" si="233"/>
        <v>650</v>
      </c>
      <c r="U1094" s="9">
        <v>0</v>
      </c>
      <c r="V1094" s="10">
        <f t="shared" si="235"/>
        <v>650</v>
      </c>
      <c r="W1094" s="4" t="s">
        <v>3120</v>
      </c>
      <c r="X1094" s="2"/>
      <c r="Y1094" s="11">
        <v>1</v>
      </c>
      <c r="Z1094" s="12">
        <f t="shared" si="239"/>
        <v>0</v>
      </c>
      <c r="AA1094" s="4" t="s">
        <v>3121</v>
      </c>
      <c r="AC1094" s="176">
        <f t="shared" si="232"/>
        <v>0</v>
      </c>
    </row>
    <row r="1095" spans="2:29">
      <c r="B1095" s="183">
        <f t="shared" si="240"/>
        <v>31</v>
      </c>
      <c r="C1095" s="107" t="str">
        <f t="shared" si="241"/>
        <v>ATK</v>
      </c>
      <c r="D1095" s="2" t="s">
        <v>1655</v>
      </c>
      <c r="E1095" s="3">
        <v>44039</v>
      </c>
      <c r="F1095" s="3">
        <v>44040</v>
      </c>
      <c r="G1095" s="108">
        <f t="shared" si="242"/>
        <v>7</v>
      </c>
      <c r="H1095" s="108" t="str">
        <f t="shared" si="243"/>
        <v>완료</v>
      </c>
      <c r="I1095" s="112" t="s">
        <v>218</v>
      </c>
      <c r="J1095" s="4" t="s">
        <v>127</v>
      </c>
      <c r="K1095" s="5" t="s">
        <v>243</v>
      </c>
      <c r="L1095" s="6" t="str">
        <f t="shared" si="238"/>
        <v>K5</v>
      </c>
      <c r="M1095" s="13" t="s">
        <v>3122</v>
      </c>
      <c r="N1095" s="7" t="s">
        <v>3921</v>
      </c>
      <c r="O1095" s="13" t="s">
        <v>284</v>
      </c>
      <c r="P1095" s="115" t="s">
        <v>3123</v>
      </c>
      <c r="Q1095" s="8" t="s">
        <v>3124</v>
      </c>
      <c r="R1095" s="2">
        <v>1</v>
      </c>
      <c r="S1095" s="9">
        <v>600</v>
      </c>
      <c r="T1095" s="10">
        <f t="shared" si="233"/>
        <v>300</v>
      </c>
      <c r="U1095" s="9">
        <v>2</v>
      </c>
      <c r="V1095" s="10">
        <f t="shared" si="235"/>
        <v>298</v>
      </c>
      <c r="W1095" s="4" t="s">
        <v>122</v>
      </c>
      <c r="X1095" s="2"/>
      <c r="Y1095" s="11">
        <v>4</v>
      </c>
      <c r="Z1095" s="12">
        <f t="shared" si="239"/>
        <v>1</v>
      </c>
      <c r="AA1095" s="4" t="s">
        <v>120</v>
      </c>
      <c r="AC1095" s="176">
        <f t="shared" si="232"/>
        <v>1.8181818181818182E-3</v>
      </c>
    </row>
    <row r="1096" spans="2:29">
      <c r="B1096" s="183">
        <f t="shared" si="240"/>
        <v>31</v>
      </c>
      <c r="C1096" s="107" t="str">
        <f t="shared" si="241"/>
        <v>ATK</v>
      </c>
      <c r="D1096" s="2" t="s">
        <v>3125</v>
      </c>
      <c r="E1096" s="3">
        <v>44039</v>
      </c>
      <c r="F1096" s="3">
        <v>44040</v>
      </c>
      <c r="G1096" s="108">
        <f t="shared" si="242"/>
        <v>7</v>
      </c>
      <c r="H1096" s="108" t="str">
        <f t="shared" si="243"/>
        <v>완료</v>
      </c>
      <c r="I1096" s="112" t="s">
        <v>218</v>
      </c>
      <c r="J1096" s="4" t="s">
        <v>127</v>
      </c>
      <c r="K1096" s="5" t="s">
        <v>243</v>
      </c>
      <c r="L1096" s="6" t="str">
        <f t="shared" si="238"/>
        <v>K5</v>
      </c>
      <c r="M1096" s="13" t="s">
        <v>1194</v>
      </c>
      <c r="N1096" s="7" t="s">
        <v>3921</v>
      </c>
      <c r="O1096" s="13" t="s">
        <v>284</v>
      </c>
      <c r="P1096" s="115"/>
      <c r="Q1096" s="8"/>
      <c r="R1096" s="2">
        <v>1</v>
      </c>
      <c r="S1096" s="9">
        <v>600</v>
      </c>
      <c r="T1096" s="10">
        <f t="shared" si="233"/>
        <v>300</v>
      </c>
      <c r="U1096" s="9">
        <v>5</v>
      </c>
      <c r="V1096" s="10">
        <f t="shared" si="235"/>
        <v>295</v>
      </c>
      <c r="W1096" s="4" t="s">
        <v>122</v>
      </c>
      <c r="X1096" s="2"/>
      <c r="Y1096" s="11">
        <v>4</v>
      </c>
      <c r="Z1096" s="12">
        <f t="shared" si="239"/>
        <v>1</v>
      </c>
      <c r="AA1096" s="4" t="s">
        <v>259</v>
      </c>
      <c r="AC1096" s="176">
        <f t="shared" si="232"/>
        <v>4.5454545454545452E-3</v>
      </c>
    </row>
    <row r="1097" spans="2:29">
      <c r="B1097" s="183">
        <f t="shared" si="240"/>
        <v>31</v>
      </c>
      <c r="C1097" s="107" t="str">
        <f t="shared" si="241"/>
        <v>ATK</v>
      </c>
      <c r="D1097" s="2" t="s">
        <v>3151</v>
      </c>
      <c r="E1097" s="3">
        <v>44039</v>
      </c>
      <c r="F1097" s="3">
        <v>44042</v>
      </c>
      <c r="G1097" s="108">
        <f t="shared" si="242"/>
        <v>7</v>
      </c>
      <c r="H1097" s="108" t="str">
        <f t="shared" si="243"/>
        <v>완료</v>
      </c>
      <c r="I1097" s="112" t="s">
        <v>218</v>
      </c>
      <c r="J1097" s="4" t="s">
        <v>127</v>
      </c>
      <c r="K1097" s="5" t="s">
        <v>135</v>
      </c>
      <c r="L1097" s="6" t="str">
        <f t="shared" si="238"/>
        <v>1T3</v>
      </c>
      <c r="M1097" s="13" t="s">
        <v>3152</v>
      </c>
      <c r="N1097" s="7" t="s">
        <v>3922</v>
      </c>
      <c r="O1097" s="13" t="s">
        <v>3153</v>
      </c>
      <c r="P1097" s="115" t="s">
        <v>3154</v>
      </c>
      <c r="Q1097" s="8"/>
      <c r="R1097" s="2">
        <v>1</v>
      </c>
      <c r="S1097" s="9">
        <v>3000</v>
      </c>
      <c r="T1097" s="10">
        <f t="shared" si="233"/>
        <v>1500</v>
      </c>
      <c r="U1097" s="9">
        <v>50</v>
      </c>
      <c r="V1097" s="10">
        <f t="shared" si="235"/>
        <v>1450</v>
      </c>
      <c r="W1097" s="4" t="s">
        <v>122</v>
      </c>
      <c r="X1097" s="2"/>
      <c r="Y1097" s="11">
        <v>12</v>
      </c>
      <c r="Z1097" s="12">
        <f t="shared" si="239"/>
        <v>3</v>
      </c>
      <c r="AA1097" s="4" t="s">
        <v>212</v>
      </c>
      <c r="AC1097" s="176">
        <f t="shared" si="232"/>
        <v>4.5454545454545456E-2</v>
      </c>
    </row>
    <row r="1098" spans="2:29" ht="24">
      <c r="B1098" s="183">
        <f t="shared" si="240"/>
        <v>31</v>
      </c>
      <c r="C1098" s="107" t="str">
        <f t="shared" si="241"/>
        <v>ATK</v>
      </c>
      <c r="D1098" s="2" t="s">
        <v>3126</v>
      </c>
      <c r="E1098" s="3">
        <v>44035</v>
      </c>
      <c r="F1098" s="3">
        <v>44040</v>
      </c>
      <c r="G1098" s="108">
        <f t="shared" si="242"/>
        <v>7</v>
      </c>
      <c r="H1098" s="108" t="str">
        <f t="shared" si="243"/>
        <v>완료</v>
      </c>
      <c r="I1098" s="112" t="s">
        <v>218</v>
      </c>
      <c r="J1098" s="4"/>
      <c r="K1098" s="5"/>
      <c r="L1098" s="6" t="str">
        <f t="shared" si="238"/>
        <v/>
      </c>
      <c r="M1098" s="13" t="s">
        <v>3128</v>
      </c>
      <c r="N1098" s="7" t="s">
        <v>3923</v>
      </c>
      <c r="O1098" s="13" t="s">
        <v>3127</v>
      </c>
      <c r="P1098" s="115" t="s">
        <v>3129</v>
      </c>
      <c r="Q1098" s="8" t="s">
        <v>3136</v>
      </c>
      <c r="R1098" s="2">
        <v>1</v>
      </c>
      <c r="S1098" s="9">
        <v>400</v>
      </c>
      <c r="T1098" s="10">
        <f t="shared" si="233"/>
        <v>200</v>
      </c>
      <c r="U1098" s="9">
        <v>2</v>
      </c>
      <c r="V1098" s="10">
        <f t="shared" si="235"/>
        <v>198</v>
      </c>
      <c r="W1098" s="4" t="s">
        <v>122</v>
      </c>
      <c r="X1098" s="2"/>
      <c r="Y1098" s="11">
        <v>6</v>
      </c>
      <c r="Z1098" s="12">
        <f t="shared" si="239"/>
        <v>5</v>
      </c>
      <c r="AA1098" s="4" t="s">
        <v>120</v>
      </c>
      <c r="AC1098" s="176">
        <f t="shared" si="232"/>
        <v>1.8181818181818182E-3</v>
      </c>
    </row>
    <row r="1099" spans="2:29">
      <c r="B1099" s="183">
        <f t="shared" si="240"/>
        <v>31</v>
      </c>
      <c r="C1099" s="107" t="str">
        <f t="shared" si="241"/>
        <v>ATK</v>
      </c>
      <c r="D1099" s="2" t="s">
        <v>3130</v>
      </c>
      <c r="E1099" s="3">
        <v>44040</v>
      </c>
      <c r="F1099" s="3">
        <v>44040</v>
      </c>
      <c r="G1099" s="108">
        <f t="shared" si="242"/>
        <v>7</v>
      </c>
      <c r="H1099" s="108" t="str">
        <f t="shared" si="243"/>
        <v>완료</v>
      </c>
      <c r="I1099" s="112" t="s">
        <v>218</v>
      </c>
      <c r="J1099" s="4" t="s">
        <v>3131</v>
      </c>
      <c r="K1099" s="5" t="s">
        <v>3132</v>
      </c>
      <c r="L1099" s="6" t="str">
        <f t="shared" si="238"/>
        <v>2T3</v>
      </c>
      <c r="M1099" s="13" t="s">
        <v>3133</v>
      </c>
      <c r="N1099" s="7" t="s">
        <v>3631</v>
      </c>
      <c r="O1099" s="13" t="s">
        <v>3133</v>
      </c>
      <c r="P1099" s="115" t="s">
        <v>2596</v>
      </c>
      <c r="Q1099" s="8" t="s">
        <v>3137</v>
      </c>
      <c r="R1099" s="2">
        <v>1</v>
      </c>
      <c r="S1099" s="9">
        <v>710</v>
      </c>
      <c r="T1099" s="10">
        <f t="shared" si="233"/>
        <v>355</v>
      </c>
      <c r="U1099" s="9">
        <v>25</v>
      </c>
      <c r="V1099" s="10">
        <f t="shared" si="235"/>
        <v>330</v>
      </c>
      <c r="W1099" s="4" t="s">
        <v>3134</v>
      </c>
      <c r="X1099" s="2"/>
      <c r="Y1099" s="11">
        <v>1</v>
      </c>
      <c r="Z1099" s="12">
        <f t="shared" si="239"/>
        <v>0</v>
      </c>
      <c r="AA1099" s="4" t="s">
        <v>3135</v>
      </c>
      <c r="AC1099" s="176">
        <f t="shared" si="232"/>
        <v>2.2727272727272728E-2</v>
      </c>
    </row>
    <row r="1100" spans="2:29">
      <c r="B1100" s="183">
        <f t="shared" si="240"/>
        <v>49</v>
      </c>
      <c r="C1100" s="107" t="str">
        <f t="shared" si="241"/>
        <v>ATK</v>
      </c>
      <c r="D1100" s="2" t="s">
        <v>1157</v>
      </c>
      <c r="E1100" s="3">
        <v>44040</v>
      </c>
      <c r="F1100" s="3">
        <v>44166</v>
      </c>
      <c r="G1100" s="108">
        <f t="shared" si="242"/>
        <v>12</v>
      </c>
      <c r="H1100" s="108" t="str">
        <f t="shared" si="243"/>
        <v>완료</v>
      </c>
      <c r="I1100" s="112" t="s">
        <v>218</v>
      </c>
      <c r="J1100" s="4" t="s">
        <v>481</v>
      </c>
      <c r="K1100" s="5" t="s">
        <v>1886</v>
      </c>
      <c r="L1100" s="6" t="str">
        <f t="shared" si="238"/>
        <v>2T3</v>
      </c>
      <c r="M1100" s="13" t="s">
        <v>270</v>
      </c>
      <c r="N1100" s="7" t="s">
        <v>3631</v>
      </c>
      <c r="O1100" s="13" t="s">
        <v>270</v>
      </c>
      <c r="P1100" s="115" t="s">
        <v>2596</v>
      </c>
      <c r="Q1100" s="8"/>
      <c r="R1100" s="2">
        <v>1</v>
      </c>
      <c r="S1100" s="9">
        <v>710</v>
      </c>
      <c r="T1100" s="10">
        <f t="shared" ref="T1100" si="246">(S1100*50)/100*R1100</f>
        <v>355</v>
      </c>
      <c r="U1100" s="9">
        <v>60</v>
      </c>
      <c r="V1100" s="10">
        <f t="shared" ref="V1100" si="247">T1100-U1100</f>
        <v>295</v>
      </c>
      <c r="W1100" s="4" t="s">
        <v>249</v>
      </c>
      <c r="X1100" s="2"/>
      <c r="Y1100" s="11">
        <v>1</v>
      </c>
      <c r="Z1100" s="12">
        <f t="shared" si="239"/>
        <v>126</v>
      </c>
      <c r="AA1100" s="4" t="s">
        <v>117</v>
      </c>
      <c r="AC1100" s="176">
        <f t="shared" si="232"/>
        <v>5.4545454545454543E-2</v>
      </c>
    </row>
    <row r="1101" spans="2:29">
      <c r="B1101" s="183">
        <f t="shared" si="240"/>
        <v>31</v>
      </c>
      <c r="C1101" s="107" t="str">
        <f t="shared" si="241"/>
        <v>ATK</v>
      </c>
      <c r="D1101" s="2" t="s">
        <v>3138</v>
      </c>
      <c r="E1101" s="3">
        <v>44040</v>
      </c>
      <c r="F1101" s="3">
        <v>44041</v>
      </c>
      <c r="G1101" s="108">
        <f t="shared" si="242"/>
        <v>7</v>
      </c>
      <c r="H1101" s="108" t="str">
        <f t="shared" si="243"/>
        <v>Other</v>
      </c>
      <c r="I1101" s="112" t="s">
        <v>251</v>
      </c>
      <c r="J1101" s="4" t="s">
        <v>115</v>
      </c>
      <c r="K1101" s="5" t="s">
        <v>138</v>
      </c>
      <c r="L1101" s="6" t="str">
        <f t="shared" si="238"/>
        <v>EE1</v>
      </c>
      <c r="M1101" s="13"/>
      <c r="N1101" s="7"/>
      <c r="O1101" s="13" t="s">
        <v>3139</v>
      </c>
      <c r="P1101" s="115" t="s">
        <v>3140</v>
      </c>
      <c r="Q1101" s="8"/>
      <c r="R1101" s="2">
        <v>1</v>
      </c>
      <c r="S1101" s="9">
        <v>0</v>
      </c>
      <c r="T1101" s="10">
        <f t="shared" si="233"/>
        <v>0</v>
      </c>
      <c r="U1101" s="9">
        <v>0</v>
      </c>
      <c r="V1101" s="10">
        <f t="shared" si="235"/>
        <v>0</v>
      </c>
      <c r="W1101" s="4" t="s">
        <v>122</v>
      </c>
      <c r="X1101" s="2"/>
      <c r="Y1101" s="11">
        <v>8</v>
      </c>
      <c r="Z1101" s="12">
        <f t="shared" si="239"/>
        <v>1</v>
      </c>
      <c r="AA1101" s="4" t="s">
        <v>117</v>
      </c>
      <c r="AC1101" s="176">
        <f t="shared" si="232"/>
        <v>0</v>
      </c>
    </row>
    <row r="1102" spans="2:29">
      <c r="B1102" s="183">
        <f t="shared" si="240"/>
        <v>31</v>
      </c>
      <c r="C1102" s="107" t="str">
        <f t="shared" si="241"/>
        <v>ATK</v>
      </c>
      <c r="D1102" s="2" t="s">
        <v>3141</v>
      </c>
      <c r="E1102" s="3">
        <v>44041</v>
      </c>
      <c r="F1102" s="3">
        <v>44041</v>
      </c>
      <c r="G1102" s="108">
        <f t="shared" si="242"/>
        <v>7</v>
      </c>
      <c r="H1102" s="108" t="str">
        <f t="shared" si="243"/>
        <v>완료</v>
      </c>
      <c r="I1102" s="112" t="s">
        <v>218</v>
      </c>
      <c r="J1102" s="4" t="s">
        <v>115</v>
      </c>
      <c r="K1102" s="5" t="s">
        <v>138</v>
      </c>
      <c r="L1102" s="6" t="str">
        <f t="shared" si="238"/>
        <v>EE1</v>
      </c>
      <c r="M1102" s="13" t="s">
        <v>1194</v>
      </c>
      <c r="N1102" s="7" t="s">
        <v>3921</v>
      </c>
      <c r="O1102" s="13" t="s">
        <v>284</v>
      </c>
      <c r="P1102" s="115" t="s">
        <v>3123</v>
      </c>
      <c r="Q1102" s="8" t="s">
        <v>3142</v>
      </c>
      <c r="R1102" s="2">
        <v>1</v>
      </c>
      <c r="S1102" s="9">
        <v>600</v>
      </c>
      <c r="T1102" s="10">
        <f t="shared" si="233"/>
        <v>300</v>
      </c>
      <c r="U1102" s="9">
        <v>2</v>
      </c>
      <c r="V1102" s="10">
        <f t="shared" si="235"/>
        <v>298</v>
      </c>
      <c r="W1102" s="4" t="s">
        <v>122</v>
      </c>
      <c r="X1102" s="2"/>
      <c r="Y1102" s="11">
        <v>4</v>
      </c>
      <c r="Z1102" s="12">
        <f t="shared" si="239"/>
        <v>0</v>
      </c>
      <c r="AA1102" s="4" t="s">
        <v>120</v>
      </c>
      <c r="AC1102" s="176">
        <f t="shared" si="232"/>
        <v>1.8181818181818182E-3</v>
      </c>
    </row>
    <row r="1103" spans="2:29">
      <c r="B1103" s="183">
        <f t="shared" si="240"/>
        <v>44</v>
      </c>
      <c r="C1103" s="107" t="str">
        <f t="shared" si="241"/>
        <v>ATK</v>
      </c>
      <c r="D1103" s="2" t="s">
        <v>3143</v>
      </c>
      <c r="E1103" s="3">
        <v>44041</v>
      </c>
      <c r="F1103" s="3">
        <v>44130</v>
      </c>
      <c r="G1103" s="108">
        <f t="shared" si="242"/>
        <v>10</v>
      </c>
      <c r="H1103" s="108" t="str">
        <f t="shared" si="243"/>
        <v>완료</v>
      </c>
      <c r="I1103" s="112" t="s">
        <v>218</v>
      </c>
      <c r="J1103" s="4" t="s">
        <v>499</v>
      </c>
      <c r="K1103" s="5" t="s">
        <v>499</v>
      </c>
      <c r="L1103" s="6" t="str">
        <f t="shared" si="238"/>
        <v>QA</v>
      </c>
      <c r="M1103" s="13" t="s">
        <v>647</v>
      </c>
      <c r="N1103" s="7" t="s">
        <v>3924</v>
      </c>
      <c r="O1103" s="13" t="s">
        <v>3144</v>
      </c>
      <c r="P1103" s="115" t="s">
        <v>4848</v>
      </c>
      <c r="Q1103" s="8" t="s">
        <v>3145</v>
      </c>
      <c r="R1103" s="2">
        <v>1</v>
      </c>
      <c r="S1103" s="9">
        <v>12000</v>
      </c>
      <c r="T1103" s="10">
        <f t="shared" si="233"/>
        <v>6000</v>
      </c>
      <c r="U1103" s="9">
        <v>4</v>
      </c>
      <c r="V1103" s="10">
        <f t="shared" si="235"/>
        <v>5996</v>
      </c>
      <c r="W1103" s="4" t="s">
        <v>122</v>
      </c>
      <c r="X1103" s="2"/>
      <c r="Y1103" s="11">
        <v>7</v>
      </c>
      <c r="Z1103" s="12">
        <f t="shared" si="239"/>
        <v>89</v>
      </c>
      <c r="AA1103" s="4" t="s">
        <v>120</v>
      </c>
      <c r="AC1103" s="176">
        <f t="shared" si="232"/>
        <v>3.6363636363636364E-3</v>
      </c>
    </row>
    <row r="1104" spans="2:29">
      <c r="B1104" s="183">
        <f t="shared" si="240"/>
        <v>31</v>
      </c>
      <c r="C1104" s="107" t="str">
        <f t="shared" si="241"/>
        <v>ATK</v>
      </c>
      <c r="D1104" s="2" t="s">
        <v>3146</v>
      </c>
      <c r="E1104" s="3">
        <v>44041</v>
      </c>
      <c r="F1104" s="3">
        <v>44041</v>
      </c>
      <c r="G1104" s="108">
        <f t="shared" si="242"/>
        <v>7</v>
      </c>
      <c r="H1104" s="108" t="str">
        <f t="shared" si="243"/>
        <v>완료</v>
      </c>
      <c r="I1104" s="112" t="s">
        <v>264</v>
      </c>
      <c r="J1104" s="4" t="s">
        <v>2500</v>
      </c>
      <c r="K1104" s="5" t="s">
        <v>1788</v>
      </c>
      <c r="L1104" s="6" t="str">
        <f t="shared" si="238"/>
        <v>5T1</v>
      </c>
      <c r="M1104" s="13" t="s">
        <v>3158</v>
      </c>
      <c r="N1104" s="7" t="s">
        <v>3925</v>
      </c>
      <c r="O1104" s="13" t="s">
        <v>3158</v>
      </c>
      <c r="P1104" s="115" t="s">
        <v>3159</v>
      </c>
      <c r="Q1104" s="8"/>
      <c r="R1104" s="2">
        <v>1</v>
      </c>
      <c r="S1104" s="9">
        <v>0</v>
      </c>
      <c r="T1104" s="10">
        <f t="shared" ref="T1104:T1166" si="248">(S1104*50)/100*R1104</f>
        <v>0</v>
      </c>
      <c r="U1104" s="9">
        <v>0</v>
      </c>
      <c r="V1104" s="10">
        <f t="shared" ref="V1104:V1166" si="249">T1104-U1104</f>
        <v>0</v>
      </c>
      <c r="W1104" s="4" t="s">
        <v>249</v>
      </c>
      <c r="X1104" s="2"/>
      <c r="Y1104" s="11">
        <v>3</v>
      </c>
      <c r="Z1104" s="12">
        <f t="shared" si="239"/>
        <v>0</v>
      </c>
      <c r="AA1104" s="4" t="s">
        <v>176</v>
      </c>
      <c r="AC1104" s="176">
        <f t="shared" si="232"/>
        <v>0</v>
      </c>
    </row>
    <row r="1105" spans="2:29">
      <c r="B1105" s="183">
        <f t="shared" si="240"/>
        <v>31</v>
      </c>
      <c r="C1105" s="107" t="str">
        <f t="shared" si="241"/>
        <v>ATK</v>
      </c>
      <c r="D1105" s="2" t="s">
        <v>3147</v>
      </c>
      <c r="E1105" s="3">
        <v>44041</v>
      </c>
      <c r="F1105" s="3">
        <v>44042</v>
      </c>
      <c r="G1105" s="108">
        <f t="shared" si="242"/>
        <v>7</v>
      </c>
      <c r="H1105" s="108" t="str">
        <f t="shared" si="243"/>
        <v>완료</v>
      </c>
      <c r="I1105" s="112" t="s">
        <v>218</v>
      </c>
      <c r="J1105" s="4" t="s">
        <v>115</v>
      </c>
      <c r="K1105" s="5" t="s">
        <v>116</v>
      </c>
      <c r="L1105" s="6" t="str">
        <f t="shared" si="238"/>
        <v>EE2</v>
      </c>
      <c r="M1105" s="13" t="s">
        <v>256</v>
      </c>
      <c r="N1105" s="13" t="s">
        <v>3624</v>
      </c>
      <c r="O1105" s="7" t="s">
        <v>958</v>
      </c>
      <c r="P1105" s="115" t="s">
        <v>3148</v>
      </c>
      <c r="Q1105" s="8"/>
      <c r="R1105" s="2">
        <v>1</v>
      </c>
      <c r="S1105" s="9">
        <v>600</v>
      </c>
      <c r="T1105" s="10">
        <f t="shared" si="248"/>
        <v>300</v>
      </c>
      <c r="U1105" s="9">
        <v>0</v>
      </c>
      <c r="V1105" s="10">
        <f t="shared" si="249"/>
        <v>300</v>
      </c>
      <c r="W1105" s="4" t="s">
        <v>122</v>
      </c>
      <c r="X1105" s="2"/>
      <c r="Y1105" s="11">
        <v>2</v>
      </c>
      <c r="Z1105" s="12">
        <f t="shared" si="239"/>
        <v>1</v>
      </c>
      <c r="AA1105" s="4" t="s">
        <v>117</v>
      </c>
      <c r="AC1105" s="176">
        <f t="shared" si="232"/>
        <v>0</v>
      </c>
    </row>
    <row r="1106" spans="2:29">
      <c r="B1106" s="183">
        <f t="shared" si="240"/>
        <v>31</v>
      </c>
      <c r="C1106" s="107" t="str">
        <f t="shared" si="241"/>
        <v>ATK</v>
      </c>
      <c r="D1106" s="2" t="s">
        <v>3149</v>
      </c>
      <c r="E1106" s="3">
        <v>44042</v>
      </c>
      <c r="F1106" s="3">
        <v>44042</v>
      </c>
      <c r="G1106" s="108">
        <f t="shared" si="242"/>
        <v>7</v>
      </c>
      <c r="H1106" s="108" t="str">
        <f t="shared" si="243"/>
        <v>완료</v>
      </c>
      <c r="I1106" s="112" t="s">
        <v>218</v>
      </c>
      <c r="J1106" s="4" t="s">
        <v>115</v>
      </c>
      <c r="K1106" s="5" t="s">
        <v>138</v>
      </c>
      <c r="L1106" s="6" t="str">
        <f t="shared" si="238"/>
        <v>EE1</v>
      </c>
      <c r="M1106" s="13"/>
      <c r="N1106" s="7" t="s">
        <v>3669</v>
      </c>
      <c r="O1106" s="13" t="s">
        <v>589</v>
      </c>
      <c r="P1106" s="115"/>
      <c r="Q1106" s="8" t="s">
        <v>3150</v>
      </c>
      <c r="R1106" s="2">
        <v>1</v>
      </c>
      <c r="S1106" s="9">
        <v>1400</v>
      </c>
      <c r="T1106" s="10">
        <f t="shared" si="248"/>
        <v>700</v>
      </c>
      <c r="U1106" s="9">
        <v>0</v>
      </c>
      <c r="V1106" s="10">
        <f t="shared" si="249"/>
        <v>700</v>
      </c>
      <c r="W1106" s="4" t="s">
        <v>122</v>
      </c>
      <c r="X1106" s="2"/>
      <c r="Y1106" s="11">
        <v>2</v>
      </c>
      <c r="Z1106" s="12">
        <f t="shared" si="239"/>
        <v>0</v>
      </c>
      <c r="AA1106" s="4" t="s">
        <v>117</v>
      </c>
      <c r="AC1106" s="176">
        <f t="shared" si="232"/>
        <v>0</v>
      </c>
    </row>
    <row r="1107" spans="2:29">
      <c r="B1107" s="183">
        <f t="shared" si="240"/>
        <v>31</v>
      </c>
      <c r="C1107" s="107" t="str">
        <f t="shared" si="241"/>
        <v>ATK</v>
      </c>
      <c r="D1107" s="2" t="s">
        <v>1394</v>
      </c>
      <c r="E1107" s="3">
        <v>44042</v>
      </c>
      <c r="F1107" s="3">
        <v>44042</v>
      </c>
      <c r="G1107" s="108">
        <f t="shared" si="242"/>
        <v>7</v>
      </c>
      <c r="H1107" s="108" t="str">
        <f t="shared" si="243"/>
        <v>완료</v>
      </c>
      <c r="I1107" s="112" t="s">
        <v>218</v>
      </c>
      <c r="J1107" s="4" t="s">
        <v>127</v>
      </c>
      <c r="K1107" s="5" t="s">
        <v>135</v>
      </c>
      <c r="L1107" s="6" t="str">
        <f t="shared" si="238"/>
        <v>1T3</v>
      </c>
      <c r="M1107" s="13" t="s">
        <v>3155</v>
      </c>
      <c r="N1107" s="7" t="s">
        <v>3926</v>
      </c>
      <c r="O1107" s="7" t="s">
        <v>3156</v>
      </c>
      <c r="P1107" s="115" t="s">
        <v>3157</v>
      </c>
      <c r="Q1107" s="8"/>
      <c r="R1107" s="2">
        <v>1</v>
      </c>
      <c r="S1107" s="9">
        <v>3000</v>
      </c>
      <c r="T1107" s="10">
        <f t="shared" si="248"/>
        <v>1500</v>
      </c>
      <c r="U1107" s="9"/>
      <c r="V1107" s="10">
        <f t="shared" si="249"/>
        <v>1500</v>
      </c>
      <c r="W1107" s="4" t="s">
        <v>122</v>
      </c>
      <c r="X1107" s="2"/>
      <c r="Y1107" s="11">
        <v>8</v>
      </c>
      <c r="Z1107" s="12">
        <f t="shared" si="239"/>
        <v>0</v>
      </c>
      <c r="AA1107" s="4" t="s">
        <v>259</v>
      </c>
      <c r="AC1107" s="176">
        <f t="shared" si="232"/>
        <v>0</v>
      </c>
    </row>
    <row r="1108" spans="2:29">
      <c r="B1108" s="183">
        <f t="shared" si="240"/>
        <v>31</v>
      </c>
      <c r="C1108" s="107" t="str">
        <f t="shared" si="241"/>
        <v>ATK</v>
      </c>
      <c r="D1108" s="2" t="s">
        <v>3160</v>
      </c>
      <c r="E1108" s="3">
        <v>44042</v>
      </c>
      <c r="F1108" s="3">
        <v>44042</v>
      </c>
      <c r="G1108" s="108">
        <f t="shared" si="242"/>
        <v>7</v>
      </c>
      <c r="H1108" s="108" t="str">
        <f t="shared" si="243"/>
        <v>완료</v>
      </c>
      <c r="I1108" s="112" t="s">
        <v>218</v>
      </c>
      <c r="J1108" s="4" t="s">
        <v>132</v>
      </c>
      <c r="K1108" s="5" t="s">
        <v>322</v>
      </c>
      <c r="L1108" s="6" t="str">
        <f t="shared" si="238"/>
        <v>3T1</v>
      </c>
      <c r="M1108" s="13" t="s">
        <v>542</v>
      </c>
      <c r="N1108" s="13" t="s">
        <v>3554</v>
      </c>
      <c r="O1108" s="7" t="s">
        <v>543</v>
      </c>
      <c r="P1108" s="115" t="s">
        <v>544</v>
      </c>
      <c r="Q1108" s="8"/>
      <c r="R1108" s="2">
        <v>1</v>
      </c>
      <c r="S1108" s="9">
        <v>70</v>
      </c>
      <c r="T1108" s="10">
        <f t="shared" si="248"/>
        <v>35</v>
      </c>
      <c r="U1108" s="9">
        <v>1</v>
      </c>
      <c r="V1108" s="10">
        <f t="shared" si="249"/>
        <v>34</v>
      </c>
      <c r="W1108" s="4" t="s">
        <v>122</v>
      </c>
      <c r="X1108" s="2"/>
      <c r="Y1108" s="11">
        <v>2</v>
      </c>
      <c r="Z1108" s="12">
        <f t="shared" si="239"/>
        <v>0</v>
      </c>
      <c r="AA1108" s="4" t="s">
        <v>120</v>
      </c>
      <c r="AC1108" s="176">
        <f t="shared" si="232"/>
        <v>9.0909090909090909E-4</v>
      </c>
    </row>
    <row r="1109" spans="2:29">
      <c r="B1109" s="183">
        <f t="shared" si="240"/>
        <v>31</v>
      </c>
      <c r="C1109" s="107" t="str">
        <f t="shared" si="241"/>
        <v>ATK</v>
      </c>
      <c r="D1109" s="2" t="s">
        <v>3161</v>
      </c>
      <c r="E1109" s="3">
        <v>44015</v>
      </c>
      <c r="F1109" s="3">
        <v>44042</v>
      </c>
      <c r="G1109" s="108">
        <f t="shared" si="242"/>
        <v>7</v>
      </c>
      <c r="H1109" s="108" t="str">
        <f t="shared" si="243"/>
        <v>완료</v>
      </c>
      <c r="I1109" s="112" t="s">
        <v>3162</v>
      </c>
      <c r="J1109" s="4" t="s">
        <v>3163</v>
      </c>
      <c r="K1109" s="5" t="s">
        <v>298</v>
      </c>
      <c r="L1109" s="6" t="str">
        <f t="shared" si="238"/>
        <v>3T1</v>
      </c>
      <c r="M1109" s="13" t="s">
        <v>3164</v>
      </c>
      <c r="N1109" s="7" t="s">
        <v>3560</v>
      </c>
      <c r="O1109" s="13" t="s">
        <v>270</v>
      </c>
      <c r="P1109" s="115" t="s">
        <v>3165</v>
      </c>
      <c r="Q1109" s="8" t="s">
        <v>3168</v>
      </c>
      <c r="R1109" s="2">
        <v>1</v>
      </c>
      <c r="S1109" s="9">
        <v>910</v>
      </c>
      <c r="T1109" s="10">
        <f t="shared" si="248"/>
        <v>455</v>
      </c>
      <c r="U1109" s="9">
        <v>25</v>
      </c>
      <c r="V1109" s="10">
        <f t="shared" si="249"/>
        <v>430</v>
      </c>
      <c r="W1109" s="4" t="s">
        <v>3166</v>
      </c>
      <c r="X1109" s="2"/>
      <c r="Y1109" s="11">
        <v>2</v>
      </c>
      <c r="Z1109" s="12">
        <f t="shared" si="239"/>
        <v>27</v>
      </c>
      <c r="AA1109" s="4" t="s">
        <v>3167</v>
      </c>
      <c r="AC1109" s="176">
        <f t="shared" si="232"/>
        <v>2.2727272727272728E-2</v>
      </c>
    </row>
    <row r="1110" spans="2:29">
      <c r="B1110" s="183">
        <f t="shared" si="240"/>
        <v>31</v>
      </c>
      <c r="C1110" s="107" t="str">
        <f t="shared" si="241"/>
        <v>ATK</v>
      </c>
      <c r="D1110" s="2" t="s">
        <v>3171</v>
      </c>
      <c r="E1110" s="3">
        <v>44025</v>
      </c>
      <c r="F1110" s="3">
        <v>44042</v>
      </c>
      <c r="G1110" s="108">
        <f t="shared" si="242"/>
        <v>7</v>
      </c>
      <c r="H1110" s="108" t="str">
        <f t="shared" si="243"/>
        <v>완료</v>
      </c>
      <c r="I1110" s="112" t="s">
        <v>264</v>
      </c>
      <c r="J1110" s="4" t="s">
        <v>808</v>
      </c>
      <c r="K1110" s="5" t="s">
        <v>833</v>
      </c>
      <c r="L1110" s="6" t="str">
        <f t="shared" si="238"/>
        <v>1T3</v>
      </c>
      <c r="M1110" s="13" t="s">
        <v>256</v>
      </c>
      <c r="N1110" s="7" t="s">
        <v>3529</v>
      </c>
      <c r="O1110" s="13" t="s">
        <v>1480</v>
      </c>
      <c r="P1110" s="115" t="s">
        <v>3172</v>
      </c>
      <c r="Q1110" s="8"/>
      <c r="R1110" s="2">
        <v>2</v>
      </c>
      <c r="S1110" s="9">
        <v>600</v>
      </c>
      <c r="T1110" s="10">
        <f t="shared" si="248"/>
        <v>600</v>
      </c>
      <c r="U1110" s="9">
        <v>20</v>
      </c>
      <c r="V1110" s="10">
        <f t="shared" si="249"/>
        <v>580</v>
      </c>
      <c r="W1110" s="4" t="s">
        <v>249</v>
      </c>
      <c r="X1110" s="2"/>
      <c r="Y1110" s="11">
        <v>4</v>
      </c>
      <c r="Z1110" s="12">
        <f t="shared" si="239"/>
        <v>17</v>
      </c>
      <c r="AA1110" s="4" t="s">
        <v>3173</v>
      </c>
      <c r="AC1110" s="176">
        <f t="shared" si="232"/>
        <v>1.8181818181818181E-2</v>
      </c>
    </row>
    <row r="1111" spans="2:29">
      <c r="B1111" s="183">
        <f t="shared" si="240"/>
        <v>31</v>
      </c>
      <c r="C1111" s="107" t="str">
        <f t="shared" si="241"/>
        <v>ATK</v>
      </c>
      <c r="D1111" s="2" t="s">
        <v>3174</v>
      </c>
      <c r="E1111" s="3">
        <v>44042</v>
      </c>
      <c r="F1111" s="3">
        <v>44042</v>
      </c>
      <c r="G1111" s="108">
        <f t="shared" si="242"/>
        <v>7</v>
      </c>
      <c r="H1111" s="108" t="str">
        <f t="shared" si="243"/>
        <v>완료</v>
      </c>
      <c r="I1111" s="112" t="s">
        <v>264</v>
      </c>
      <c r="J1111" s="4" t="s">
        <v>3175</v>
      </c>
      <c r="K1111" s="5" t="s">
        <v>3176</v>
      </c>
      <c r="L1111" s="6" t="str">
        <f t="shared" si="238"/>
        <v>EE1</v>
      </c>
      <c r="M1111" s="13" t="s">
        <v>226</v>
      </c>
      <c r="N1111" s="7" t="s">
        <v>140</v>
      </c>
      <c r="O1111" s="13" t="s">
        <v>3177</v>
      </c>
      <c r="P1111" s="115" t="s">
        <v>3178</v>
      </c>
      <c r="Q1111" s="8"/>
      <c r="R1111" s="2">
        <v>1</v>
      </c>
      <c r="S1111" s="9">
        <v>50</v>
      </c>
      <c r="T1111" s="10">
        <f t="shared" si="248"/>
        <v>25</v>
      </c>
      <c r="U1111" s="9">
        <v>0</v>
      </c>
      <c r="V1111" s="10">
        <f t="shared" si="249"/>
        <v>25</v>
      </c>
      <c r="W1111" s="4" t="s">
        <v>249</v>
      </c>
      <c r="X1111" s="2"/>
      <c r="Y1111" s="11">
        <v>1</v>
      </c>
      <c r="Z1111" s="12">
        <f t="shared" si="239"/>
        <v>0</v>
      </c>
      <c r="AA1111" s="4" t="s">
        <v>3179</v>
      </c>
      <c r="AC1111" s="176">
        <f t="shared" si="232"/>
        <v>0</v>
      </c>
    </row>
    <row r="1112" spans="2:29">
      <c r="B1112" s="183">
        <f t="shared" si="240"/>
        <v>31</v>
      </c>
      <c r="C1112" s="107" t="str">
        <f t="shared" si="241"/>
        <v>ATK</v>
      </c>
      <c r="D1112" s="2" t="s">
        <v>3180</v>
      </c>
      <c r="E1112" s="3">
        <v>44015</v>
      </c>
      <c r="F1112" s="3">
        <v>44043</v>
      </c>
      <c r="G1112" s="108">
        <f t="shared" si="242"/>
        <v>7</v>
      </c>
      <c r="H1112" s="108" t="str">
        <f t="shared" si="243"/>
        <v>완료</v>
      </c>
      <c r="I1112" s="112" t="s">
        <v>346</v>
      </c>
      <c r="J1112" s="4" t="s">
        <v>3181</v>
      </c>
      <c r="K1112" s="5" t="s">
        <v>298</v>
      </c>
      <c r="L1112" s="6" t="str">
        <f t="shared" si="238"/>
        <v>3T1</v>
      </c>
      <c r="M1112" s="13" t="s">
        <v>2987</v>
      </c>
      <c r="N1112" s="7" t="s">
        <v>3631</v>
      </c>
      <c r="O1112" s="13" t="s">
        <v>270</v>
      </c>
      <c r="P1112" s="115" t="s">
        <v>3182</v>
      </c>
      <c r="Q1112" s="8" t="s">
        <v>3190</v>
      </c>
      <c r="R1112" s="2">
        <v>1</v>
      </c>
      <c r="S1112" s="9">
        <v>910</v>
      </c>
      <c r="T1112" s="10">
        <f t="shared" si="248"/>
        <v>455</v>
      </c>
      <c r="U1112" s="9">
        <v>25</v>
      </c>
      <c r="V1112" s="10">
        <f t="shared" si="249"/>
        <v>430</v>
      </c>
      <c r="W1112" s="4" t="s">
        <v>3183</v>
      </c>
      <c r="X1112" s="2"/>
      <c r="Y1112" s="11">
        <v>2</v>
      </c>
      <c r="Z1112" s="12">
        <f t="shared" si="239"/>
        <v>28</v>
      </c>
      <c r="AA1112" s="4" t="s">
        <v>3184</v>
      </c>
      <c r="AC1112" s="176">
        <f t="shared" si="232"/>
        <v>2.2727272727272728E-2</v>
      </c>
    </row>
    <row r="1113" spans="2:29">
      <c r="B1113" s="183">
        <f t="shared" si="240"/>
        <v>35</v>
      </c>
      <c r="C1113" s="107" t="str">
        <f t="shared" si="241"/>
        <v>ATK</v>
      </c>
      <c r="D1113" s="2" t="s">
        <v>3189</v>
      </c>
      <c r="E1113" s="3">
        <v>44043</v>
      </c>
      <c r="F1113" s="3">
        <v>44067</v>
      </c>
      <c r="G1113" s="108">
        <f t="shared" si="242"/>
        <v>8</v>
      </c>
      <c r="H1113" s="108" t="str">
        <f t="shared" si="243"/>
        <v>완료</v>
      </c>
      <c r="I1113" s="112" t="s">
        <v>514</v>
      </c>
      <c r="J1113" s="4" t="s">
        <v>127</v>
      </c>
      <c r="K1113" s="5" t="s">
        <v>135</v>
      </c>
      <c r="L1113" s="6" t="str">
        <f t="shared" si="238"/>
        <v>1T3</v>
      </c>
      <c r="M1113" s="13" t="s">
        <v>1226</v>
      </c>
      <c r="N1113" s="7" t="s">
        <v>3926</v>
      </c>
      <c r="O1113" s="13" t="s">
        <v>3185</v>
      </c>
      <c r="P1113" s="115" t="s">
        <v>208</v>
      </c>
      <c r="Q1113" s="8" t="s">
        <v>3188</v>
      </c>
      <c r="R1113" s="2">
        <v>1</v>
      </c>
      <c r="S1113" s="9">
        <v>4000</v>
      </c>
      <c r="T1113" s="10">
        <f t="shared" si="248"/>
        <v>2000</v>
      </c>
      <c r="U1113" s="9">
        <v>1400</v>
      </c>
      <c r="V1113" s="10">
        <f t="shared" si="249"/>
        <v>600</v>
      </c>
      <c r="W1113" s="4" t="s">
        <v>123</v>
      </c>
      <c r="X1113" s="2" t="s">
        <v>29</v>
      </c>
      <c r="Y1113" s="11">
        <v>2</v>
      </c>
      <c r="Z1113" s="12">
        <f t="shared" si="239"/>
        <v>24</v>
      </c>
      <c r="AA1113" s="4" t="s">
        <v>3186</v>
      </c>
      <c r="AC1113" s="176">
        <f t="shared" si="232"/>
        <v>1.2727272727272727</v>
      </c>
    </row>
    <row r="1114" spans="2:29">
      <c r="B1114" s="183">
        <f t="shared" si="240"/>
        <v>31</v>
      </c>
      <c r="C1114" s="107" t="str">
        <f t="shared" si="241"/>
        <v>ATK</v>
      </c>
      <c r="D1114" s="2" t="s">
        <v>773</v>
      </c>
      <c r="E1114" s="3">
        <v>44043</v>
      </c>
      <c r="F1114" s="3">
        <v>44043</v>
      </c>
      <c r="G1114" s="108">
        <f t="shared" si="242"/>
        <v>7</v>
      </c>
      <c r="H1114" s="108" t="str">
        <f t="shared" si="243"/>
        <v>완료</v>
      </c>
      <c r="I1114" s="112" t="s">
        <v>218</v>
      </c>
      <c r="J1114" s="4" t="s">
        <v>132</v>
      </c>
      <c r="K1114" s="5" t="s">
        <v>322</v>
      </c>
      <c r="L1114" s="6" t="str">
        <f t="shared" si="238"/>
        <v>3T1</v>
      </c>
      <c r="M1114" s="13" t="s">
        <v>2725</v>
      </c>
      <c r="N1114" s="7" t="s">
        <v>3881</v>
      </c>
      <c r="O1114" s="13" t="s">
        <v>1002</v>
      </c>
      <c r="P1114" s="115" t="s">
        <v>2726</v>
      </c>
      <c r="Q1114" s="8" t="s">
        <v>500</v>
      </c>
      <c r="R1114" s="2">
        <v>1</v>
      </c>
      <c r="S1114" s="9">
        <v>700</v>
      </c>
      <c r="T1114" s="10">
        <f t="shared" si="248"/>
        <v>350</v>
      </c>
      <c r="U1114" s="9">
        <v>1</v>
      </c>
      <c r="V1114" s="10">
        <f t="shared" si="249"/>
        <v>349</v>
      </c>
      <c r="W1114" s="4" t="s">
        <v>122</v>
      </c>
      <c r="X1114" s="2"/>
      <c r="Y1114" s="11">
        <v>2</v>
      </c>
      <c r="Z1114" s="12">
        <f t="shared" si="239"/>
        <v>0</v>
      </c>
      <c r="AA1114" s="4" t="s">
        <v>117</v>
      </c>
      <c r="AC1114" s="176">
        <f t="shared" si="232"/>
        <v>9.0909090909090909E-4</v>
      </c>
    </row>
    <row r="1115" spans="2:29">
      <c r="B1115" s="183">
        <f t="shared" si="240"/>
        <v>31</v>
      </c>
      <c r="C1115" s="107" t="str">
        <f t="shared" si="241"/>
        <v>ATK</v>
      </c>
      <c r="D1115" s="2" t="s">
        <v>3196</v>
      </c>
      <c r="E1115" s="3">
        <v>44042</v>
      </c>
      <c r="F1115" s="3">
        <v>44043</v>
      </c>
      <c r="G1115" s="108">
        <f t="shared" si="242"/>
        <v>7</v>
      </c>
      <c r="H1115" s="108" t="str">
        <f t="shared" si="243"/>
        <v>완료</v>
      </c>
      <c r="I1115" s="112" t="s">
        <v>218</v>
      </c>
      <c r="J1115" s="4" t="s">
        <v>115</v>
      </c>
      <c r="K1115" s="5" t="s">
        <v>138</v>
      </c>
      <c r="L1115" s="6" t="str">
        <f t="shared" si="238"/>
        <v>EE1</v>
      </c>
      <c r="M1115" s="13" t="s">
        <v>3193</v>
      </c>
      <c r="N1115" s="7" t="s">
        <v>3775</v>
      </c>
      <c r="O1115" s="13" t="s">
        <v>3194</v>
      </c>
      <c r="P1115" s="115" t="s">
        <v>3195</v>
      </c>
      <c r="Q1115" s="8"/>
      <c r="R1115" s="2">
        <v>1</v>
      </c>
      <c r="S1115" s="9">
        <v>1500</v>
      </c>
      <c r="T1115" s="10">
        <f t="shared" si="248"/>
        <v>750</v>
      </c>
      <c r="U1115" s="9">
        <v>20</v>
      </c>
      <c r="V1115" s="10">
        <f t="shared" si="249"/>
        <v>730</v>
      </c>
      <c r="W1115" s="4" t="s">
        <v>122</v>
      </c>
      <c r="X1115" s="2"/>
      <c r="Y1115" s="11">
        <v>6</v>
      </c>
      <c r="Z1115" s="12">
        <f t="shared" si="239"/>
        <v>1</v>
      </c>
      <c r="AA1115" s="4" t="s">
        <v>212</v>
      </c>
      <c r="AC1115" s="176">
        <f t="shared" si="232"/>
        <v>1.8181818181818181E-2</v>
      </c>
    </row>
    <row r="1116" spans="2:29">
      <c r="B1116" s="183">
        <f t="shared" si="240"/>
        <v>32</v>
      </c>
      <c r="C1116" s="107" t="str">
        <f t="shared" si="241"/>
        <v>ATK</v>
      </c>
      <c r="D1116" s="2" t="s">
        <v>3199</v>
      </c>
      <c r="E1116" s="3">
        <v>44043</v>
      </c>
      <c r="F1116" s="3">
        <v>44046</v>
      </c>
      <c r="G1116" s="108">
        <f t="shared" si="242"/>
        <v>8</v>
      </c>
      <c r="H1116" s="108" t="str">
        <f t="shared" si="243"/>
        <v>완료</v>
      </c>
      <c r="I1116" s="112" t="s">
        <v>264</v>
      </c>
      <c r="J1116" s="4" t="s">
        <v>121</v>
      </c>
      <c r="K1116" s="5" t="s">
        <v>136</v>
      </c>
      <c r="L1116" s="6" t="str">
        <f t="shared" si="238"/>
        <v>5T1</v>
      </c>
      <c r="M1116" s="13" t="s">
        <v>226</v>
      </c>
      <c r="N1116" s="7" t="s">
        <v>3766</v>
      </c>
      <c r="O1116" s="13" t="s">
        <v>3200</v>
      </c>
      <c r="P1116" s="115"/>
      <c r="Q1116" s="8"/>
      <c r="R1116" s="2">
        <v>1</v>
      </c>
      <c r="S1116" s="9">
        <v>2500</v>
      </c>
      <c r="T1116" s="10">
        <f t="shared" si="248"/>
        <v>1250</v>
      </c>
      <c r="U1116" s="9">
        <v>0</v>
      </c>
      <c r="V1116" s="10">
        <f t="shared" si="249"/>
        <v>1250</v>
      </c>
      <c r="W1116" s="4" t="s">
        <v>249</v>
      </c>
      <c r="X1116" s="2"/>
      <c r="Y1116" s="11">
        <v>6</v>
      </c>
      <c r="Z1116" s="12">
        <f t="shared" si="239"/>
        <v>3</v>
      </c>
      <c r="AA1116" s="4" t="s">
        <v>3201</v>
      </c>
      <c r="AC1116" s="176">
        <f t="shared" si="232"/>
        <v>0</v>
      </c>
    </row>
    <row r="1117" spans="2:29">
      <c r="B1117" s="183">
        <f t="shared" si="240"/>
        <v>32</v>
      </c>
      <c r="C1117" s="107" t="str">
        <f t="shared" si="241"/>
        <v>ATK</v>
      </c>
      <c r="D1117" s="2" t="s">
        <v>3202</v>
      </c>
      <c r="E1117" s="3">
        <v>44046</v>
      </c>
      <c r="F1117" s="3">
        <v>44046</v>
      </c>
      <c r="G1117" s="108">
        <f t="shared" si="242"/>
        <v>8</v>
      </c>
      <c r="H1117" s="108" t="str">
        <f t="shared" si="243"/>
        <v>완료</v>
      </c>
      <c r="I1117" s="112" t="s">
        <v>218</v>
      </c>
      <c r="J1117" s="4" t="s">
        <v>115</v>
      </c>
      <c r="K1117" s="5" t="s">
        <v>138</v>
      </c>
      <c r="L1117" s="6" t="str">
        <f t="shared" si="238"/>
        <v>EE1</v>
      </c>
      <c r="M1117" s="13" t="s">
        <v>158</v>
      </c>
      <c r="N1117" s="7" t="s">
        <v>157</v>
      </c>
      <c r="O1117" s="13" t="s">
        <v>140</v>
      </c>
      <c r="P1117" s="115" t="s">
        <v>3203</v>
      </c>
      <c r="Q1117" s="8"/>
      <c r="R1117" s="2">
        <v>1</v>
      </c>
      <c r="S1117" s="9">
        <v>1200</v>
      </c>
      <c r="T1117" s="10">
        <f t="shared" si="248"/>
        <v>600</v>
      </c>
      <c r="U1117" s="9">
        <v>5</v>
      </c>
      <c r="V1117" s="10">
        <f t="shared" si="249"/>
        <v>595</v>
      </c>
      <c r="W1117" s="4" t="s">
        <v>122</v>
      </c>
      <c r="X1117" s="2"/>
      <c r="Y1117" s="11">
        <v>2</v>
      </c>
      <c r="Z1117" s="12">
        <f t="shared" si="239"/>
        <v>0</v>
      </c>
      <c r="AA1117" s="4" t="s">
        <v>3204</v>
      </c>
      <c r="AC1117" s="176">
        <f t="shared" si="232"/>
        <v>4.5454545454545452E-3</v>
      </c>
    </row>
    <row r="1118" spans="2:29">
      <c r="B1118" s="183">
        <f t="shared" si="240"/>
        <v>32</v>
      </c>
      <c r="C1118" s="107" t="str">
        <f t="shared" si="241"/>
        <v>ATK</v>
      </c>
      <c r="D1118" s="2" t="s">
        <v>3205</v>
      </c>
      <c r="E1118" s="3">
        <v>44043</v>
      </c>
      <c r="F1118" s="3">
        <v>44046</v>
      </c>
      <c r="G1118" s="108">
        <f t="shared" si="242"/>
        <v>8</v>
      </c>
      <c r="H1118" s="108" t="str">
        <f t="shared" si="243"/>
        <v>완료</v>
      </c>
      <c r="I1118" s="112" t="s">
        <v>3206</v>
      </c>
      <c r="J1118" s="4" t="s">
        <v>3207</v>
      </c>
      <c r="K1118" s="5" t="s">
        <v>1788</v>
      </c>
      <c r="L1118" s="6" t="str">
        <f t="shared" si="238"/>
        <v>5T1</v>
      </c>
      <c r="M1118" s="13" t="s">
        <v>3208</v>
      </c>
      <c r="N1118" s="7" t="s">
        <v>3766</v>
      </c>
      <c r="O1118" s="13" t="s">
        <v>3209</v>
      </c>
      <c r="P1118" s="115"/>
      <c r="Q1118" s="8"/>
      <c r="R1118" s="2">
        <v>1</v>
      </c>
      <c r="S1118" s="9">
        <v>2500</v>
      </c>
      <c r="T1118" s="10">
        <f t="shared" si="248"/>
        <v>1250</v>
      </c>
      <c r="U1118" s="9">
        <v>0</v>
      </c>
      <c r="V1118" s="10">
        <f t="shared" si="249"/>
        <v>1250</v>
      </c>
      <c r="W1118" s="4" t="s">
        <v>3210</v>
      </c>
      <c r="X1118" s="2"/>
      <c r="Y1118" s="11">
        <v>3</v>
      </c>
      <c r="Z1118" s="12">
        <f t="shared" si="239"/>
        <v>3</v>
      </c>
      <c r="AA1118" s="4" t="s">
        <v>3211</v>
      </c>
      <c r="AC1118" s="176">
        <f t="shared" si="232"/>
        <v>0</v>
      </c>
    </row>
    <row r="1119" spans="2:29">
      <c r="B1119" s="183">
        <f t="shared" si="240"/>
        <v>39</v>
      </c>
      <c r="C1119" s="107" t="str">
        <f t="shared" si="241"/>
        <v>ATK</v>
      </c>
      <c r="D1119" s="2" t="s">
        <v>3212</v>
      </c>
      <c r="E1119" s="3">
        <v>44042</v>
      </c>
      <c r="F1119" s="3">
        <v>44097</v>
      </c>
      <c r="G1119" s="108">
        <f t="shared" si="242"/>
        <v>9</v>
      </c>
      <c r="H1119" s="108" t="str">
        <f t="shared" si="243"/>
        <v>완료</v>
      </c>
      <c r="I1119" s="112" t="s">
        <v>218</v>
      </c>
      <c r="J1119" s="4" t="s">
        <v>173</v>
      </c>
      <c r="K1119" s="5" t="s">
        <v>128</v>
      </c>
      <c r="L1119" s="6" t="str">
        <f t="shared" si="238"/>
        <v>1T1</v>
      </c>
      <c r="M1119" s="13" t="s">
        <v>3213</v>
      </c>
      <c r="N1119" s="7" t="s">
        <v>3927</v>
      </c>
      <c r="O1119" s="13" t="s">
        <v>3214</v>
      </c>
      <c r="P1119" s="115"/>
      <c r="Q1119" s="8"/>
      <c r="R1119" s="2">
        <v>3</v>
      </c>
      <c r="S1119" s="9">
        <v>11000</v>
      </c>
      <c r="T1119" s="10">
        <f t="shared" si="248"/>
        <v>16500</v>
      </c>
      <c r="U1119" s="9"/>
      <c r="V1119" s="10">
        <f t="shared" si="249"/>
        <v>16500</v>
      </c>
      <c r="W1119" s="4" t="s">
        <v>122</v>
      </c>
      <c r="X1119" s="2"/>
      <c r="Y1119" s="11">
        <v>6</v>
      </c>
      <c r="Z1119" s="12">
        <f t="shared" si="239"/>
        <v>55</v>
      </c>
      <c r="AA1119" s="4" t="s">
        <v>117</v>
      </c>
      <c r="AC1119" s="176">
        <f t="shared" si="232"/>
        <v>0</v>
      </c>
    </row>
    <row r="1120" spans="2:29">
      <c r="B1120" s="183">
        <f t="shared" si="240"/>
        <v>32</v>
      </c>
      <c r="C1120" s="107" t="str">
        <f t="shared" si="241"/>
        <v>ATK</v>
      </c>
      <c r="D1120" s="2" t="s">
        <v>455</v>
      </c>
      <c r="E1120" s="3">
        <v>44043</v>
      </c>
      <c r="F1120" s="3">
        <v>44046</v>
      </c>
      <c r="G1120" s="108">
        <f t="shared" si="242"/>
        <v>8</v>
      </c>
      <c r="H1120" s="108" t="str">
        <f t="shared" si="243"/>
        <v>완료</v>
      </c>
      <c r="I1120" s="112" t="s">
        <v>218</v>
      </c>
      <c r="J1120" s="4" t="s">
        <v>118</v>
      </c>
      <c r="K1120" s="5" t="s">
        <v>119</v>
      </c>
      <c r="L1120" s="6" t="str">
        <f t="shared" si="238"/>
        <v>2T3</v>
      </c>
      <c r="M1120" s="13" t="s">
        <v>730</v>
      </c>
      <c r="N1120" s="7" t="s">
        <v>3491</v>
      </c>
      <c r="O1120" s="13" t="s">
        <v>3215</v>
      </c>
      <c r="P1120" s="115"/>
      <c r="Q1120" s="8"/>
      <c r="R1120" s="2">
        <v>1</v>
      </c>
      <c r="S1120" s="9">
        <v>5000</v>
      </c>
      <c r="T1120" s="10">
        <f t="shared" si="248"/>
        <v>2500</v>
      </c>
      <c r="U1120" s="9">
        <v>25</v>
      </c>
      <c r="V1120" s="10">
        <f t="shared" si="249"/>
        <v>2475</v>
      </c>
      <c r="W1120" s="4" t="s">
        <v>122</v>
      </c>
      <c r="X1120" s="2"/>
      <c r="Y1120" s="11">
        <v>5</v>
      </c>
      <c r="Z1120" s="12">
        <f t="shared" si="239"/>
        <v>3</v>
      </c>
      <c r="AA1120" s="4" t="s">
        <v>117</v>
      </c>
      <c r="AC1120" s="176">
        <f t="shared" si="232"/>
        <v>2.2727272727272728E-2</v>
      </c>
    </row>
    <row r="1121" spans="2:29">
      <c r="B1121" s="183">
        <f t="shared" si="240"/>
        <v>32</v>
      </c>
      <c r="C1121" s="107" t="str">
        <f t="shared" si="241"/>
        <v>ATK</v>
      </c>
      <c r="D1121" s="2" t="s">
        <v>3216</v>
      </c>
      <c r="E1121" s="3">
        <v>44034</v>
      </c>
      <c r="F1121" s="3">
        <v>44046</v>
      </c>
      <c r="G1121" s="108">
        <f t="shared" si="242"/>
        <v>8</v>
      </c>
      <c r="H1121" s="108" t="str">
        <f t="shared" si="243"/>
        <v>완료</v>
      </c>
      <c r="I1121" s="112" t="s">
        <v>3217</v>
      </c>
      <c r="J1121" s="4" t="s">
        <v>132</v>
      </c>
      <c r="K1121" s="5" t="s">
        <v>322</v>
      </c>
      <c r="L1121" s="6" t="str">
        <f t="shared" si="238"/>
        <v>3T1</v>
      </c>
      <c r="M1121" s="13" t="s">
        <v>3218</v>
      </c>
      <c r="N1121" s="7" t="s">
        <v>3928</v>
      </c>
      <c r="O1121" s="13" t="s">
        <v>1200</v>
      </c>
      <c r="P1121" s="115"/>
      <c r="Q1121" s="8" t="s">
        <v>3221</v>
      </c>
      <c r="R1121" s="2">
        <v>1</v>
      </c>
      <c r="S1121" s="9">
        <v>1200</v>
      </c>
      <c r="T1121" s="10">
        <f t="shared" si="248"/>
        <v>600</v>
      </c>
      <c r="U1121" s="9">
        <v>0</v>
      </c>
      <c r="V1121" s="10">
        <f t="shared" si="249"/>
        <v>600</v>
      </c>
      <c r="W1121" s="4" t="s">
        <v>3219</v>
      </c>
      <c r="X1121" s="2"/>
      <c r="Y1121" s="11">
        <v>2</v>
      </c>
      <c r="Z1121" s="12">
        <f t="shared" si="239"/>
        <v>12</v>
      </c>
      <c r="AA1121" s="4" t="s">
        <v>3220</v>
      </c>
      <c r="AC1121" s="176">
        <f t="shared" si="232"/>
        <v>0</v>
      </c>
    </row>
    <row r="1122" spans="2:29">
      <c r="B1122" s="183">
        <f t="shared" si="240"/>
        <v>32</v>
      </c>
      <c r="C1122" s="107" t="str">
        <f t="shared" si="241"/>
        <v>ATK</v>
      </c>
      <c r="D1122" s="2" t="s">
        <v>3222</v>
      </c>
      <c r="E1122" s="3">
        <v>44046</v>
      </c>
      <c r="F1122" s="3">
        <v>44047</v>
      </c>
      <c r="G1122" s="108">
        <f t="shared" si="242"/>
        <v>8</v>
      </c>
      <c r="H1122" s="108" t="str">
        <f t="shared" si="243"/>
        <v>완료</v>
      </c>
      <c r="I1122" s="112" t="s">
        <v>218</v>
      </c>
      <c r="J1122" s="4" t="s">
        <v>118</v>
      </c>
      <c r="K1122" s="5" t="s">
        <v>119</v>
      </c>
      <c r="L1122" s="6" t="str">
        <f t="shared" si="238"/>
        <v>2T3</v>
      </c>
      <c r="M1122" s="13" t="s">
        <v>3223</v>
      </c>
      <c r="N1122" s="7" t="s">
        <v>3929</v>
      </c>
      <c r="O1122" s="13" t="s">
        <v>3224</v>
      </c>
      <c r="P1122" s="115" t="s">
        <v>3243</v>
      </c>
      <c r="Q1122" s="8"/>
      <c r="R1122" s="2">
        <v>1</v>
      </c>
      <c r="S1122" s="9">
        <v>200</v>
      </c>
      <c r="T1122" s="10">
        <f t="shared" si="248"/>
        <v>100</v>
      </c>
      <c r="U1122" s="9">
        <v>10</v>
      </c>
      <c r="V1122" s="10">
        <f t="shared" si="249"/>
        <v>90</v>
      </c>
      <c r="W1122" s="4" t="s">
        <v>249</v>
      </c>
      <c r="X1122" s="2"/>
      <c r="Y1122" s="11">
        <v>6</v>
      </c>
      <c r="Z1122" s="12">
        <f t="shared" si="239"/>
        <v>1</v>
      </c>
      <c r="AA1122" s="4" t="s">
        <v>212</v>
      </c>
      <c r="AC1122" s="176">
        <f t="shared" si="232"/>
        <v>9.0909090909090905E-3</v>
      </c>
    </row>
    <row r="1123" spans="2:29">
      <c r="B1123" s="183">
        <f t="shared" si="240"/>
        <v>32</v>
      </c>
      <c r="C1123" s="107" t="str">
        <f t="shared" si="241"/>
        <v>ATK</v>
      </c>
      <c r="D1123" s="2" t="s">
        <v>1116</v>
      </c>
      <c r="E1123" s="3">
        <v>44046</v>
      </c>
      <c r="F1123" s="3">
        <v>44046</v>
      </c>
      <c r="G1123" s="108">
        <f t="shared" si="242"/>
        <v>8</v>
      </c>
      <c r="H1123" s="108" t="str">
        <f t="shared" si="243"/>
        <v>완료</v>
      </c>
      <c r="I1123" s="112" t="s">
        <v>218</v>
      </c>
      <c r="J1123" s="4" t="s">
        <v>115</v>
      </c>
      <c r="K1123" s="5" t="s">
        <v>116</v>
      </c>
      <c r="L1123" s="6" t="str">
        <f t="shared" si="238"/>
        <v>EE2</v>
      </c>
      <c r="M1123" s="13" t="s">
        <v>3225</v>
      </c>
      <c r="N1123" s="7" t="s">
        <v>3930</v>
      </c>
      <c r="O1123" s="13" t="s">
        <v>3226</v>
      </c>
      <c r="P1123" s="115" t="s">
        <v>3242</v>
      </c>
      <c r="Q1123" s="8"/>
      <c r="R1123" s="2">
        <v>2</v>
      </c>
      <c r="S1123" s="9">
        <v>1000</v>
      </c>
      <c r="T1123" s="10">
        <f t="shared" si="248"/>
        <v>1000</v>
      </c>
      <c r="U1123" s="9">
        <v>10</v>
      </c>
      <c r="V1123" s="10">
        <f t="shared" si="249"/>
        <v>990</v>
      </c>
      <c r="W1123" s="4" t="s">
        <v>249</v>
      </c>
      <c r="X1123" s="2"/>
      <c r="Y1123" s="11">
        <v>6</v>
      </c>
      <c r="Z1123" s="12">
        <f t="shared" si="239"/>
        <v>0</v>
      </c>
      <c r="AA1123" s="4" t="s">
        <v>212</v>
      </c>
      <c r="AC1123" s="176">
        <f t="shared" si="232"/>
        <v>9.0909090909090905E-3</v>
      </c>
    </row>
    <row r="1124" spans="2:29">
      <c r="B1124" s="183">
        <f t="shared" si="240"/>
        <v>34</v>
      </c>
      <c r="C1124" s="107" t="str">
        <f t="shared" si="241"/>
        <v>ATK</v>
      </c>
      <c r="D1124" s="2" t="s">
        <v>3227</v>
      </c>
      <c r="E1124" s="3">
        <v>44036</v>
      </c>
      <c r="F1124" s="3">
        <v>44062</v>
      </c>
      <c r="G1124" s="108">
        <f t="shared" si="242"/>
        <v>8</v>
      </c>
      <c r="H1124" s="108" t="str">
        <f t="shared" si="243"/>
        <v>완료</v>
      </c>
      <c r="I1124" s="112" t="s">
        <v>218</v>
      </c>
      <c r="J1124" s="4" t="s">
        <v>3229</v>
      </c>
      <c r="K1124" s="5" t="s">
        <v>3230</v>
      </c>
      <c r="L1124" s="6" t="str">
        <f t="shared" si="238"/>
        <v>EE2</v>
      </c>
      <c r="M1124" s="13" t="s">
        <v>256</v>
      </c>
      <c r="N1124" s="7" t="s">
        <v>3594</v>
      </c>
      <c r="O1124" s="13" t="s">
        <v>3231</v>
      </c>
      <c r="P1124" s="115" t="s">
        <v>3232</v>
      </c>
      <c r="Q1124" s="8"/>
      <c r="R1124" s="2">
        <v>1</v>
      </c>
      <c r="S1124" s="9">
        <v>1600</v>
      </c>
      <c r="T1124" s="10">
        <f t="shared" si="248"/>
        <v>800</v>
      </c>
      <c r="U1124" s="9">
        <v>30</v>
      </c>
      <c r="V1124" s="10">
        <f t="shared" si="249"/>
        <v>770</v>
      </c>
      <c r="W1124" s="4" t="s">
        <v>249</v>
      </c>
      <c r="X1124" s="2"/>
      <c r="Y1124" s="11">
        <v>4</v>
      </c>
      <c r="Z1124" s="12">
        <f t="shared" si="239"/>
        <v>26</v>
      </c>
      <c r="AA1124" s="4" t="s">
        <v>3233</v>
      </c>
      <c r="AC1124" s="176">
        <f t="shared" si="232"/>
        <v>2.7272727272727271E-2</v>
      </c>
    </row>
    <row r="1125" spans="2:29">
      <c r="B1125" s="183">
        <f t="shared" si="240"/>
        <v>34</v>
      </c>
      <c r="C1125" s="107" t="str">
        <f t="shared" si="241"/>
        <v>ATK</v>
      </c>
      <c r="D1125" s="2" t="s">
        <v>3228</v>
      </c>
      <c r="E1125" s="3">
        <v>44036</v>
      </c>
      <c r="F1125" s="3">
        <v>44062</v>
      </c>
      <c r="G1125" s="108">
        <f t="shared" si="242"/>
        <v>8</v>
      </c>
      <c r="H1125" s="108" t="str">
        <f t="shared" si="243"/>
        <v>완료</v>
      </c>
      <c r="I1125" s="112" t="s">
        <v>218</v>
      </c>
      <c r="J1125" s="4" t="s">
        <v>3229</v>
      </c>
      <c r="K1125" s="5" t="s">
        <v>3230</v>
      </c>
      <c r="L1125" s="6" t="str">
        <f t="shared" si="238"/>
        <v>EE2</v>
      </c>
      <c r="M1125" s="13" t="s">
        <v>256</v>
      </c>
      <c r="N1125" s="7" t="s">
        <v>3594</v>
      </c>
      <c r="O1125" s="13" t="s">
        <v>3231</v>
      </c>
      <c r="P1125" s="115" t="s">
        <v>1421</v>
      </c>
      <c r="Q1125" s="8"/>
      <c r="R1125" s="2">
        <v>1</v>
      </c>
      <c r="S1125" s="9">
        <v>1600</v>
      </c>
      <c r="T1125" s="10">
        <f t="shared" si="248"/>
        <v>800</v>
      </c>
      <c r="U1125" s="9">
        <v>5</v>
      </c>
      <c r="V1125" s="10">
        <f t="shared" si="249"/>
        <v>795</v>
      </c>
      <c r="W1125" s="4" t="s">
        <v>249</v>
      </c>
      <c r="X1125" s="2"/>
      <c r="Y1125" s="11">
        <v>4</v>
      </c>
      <c r="Z1125" s="12">
        <f t="shared" si="239"/>
        <v>26</v>
      </c>
      <c r="AA1125" s="4" t="s">
        <v>3233</v>
      </c>
      <c r="AC1125" s="176">
        <f t="shared" si="232"/>
        <v>4.5454545454545452E-3</v>
      </c>
    </row>
    <row r="1126" spans="2:29">
      <c r="B1126" s="183">
        <f t="shared" si="240"/>
        <v>32</v>
      </c>
      <c r="C1126" s="107" t="str">
        <f t="shared" si="241"/>
        <v>ATK</v>
      </c>
      <c r="D1126" s="2" t="s">
        <v>3234</v>
      </c>
      <c r="E1126" s="3">
        <v>44047</v>
      </c>
      <c r="F1126" s="3">
        <v>44047</v>
      </c>
      <c r="G1126" s="108">
        <f t="shared" si="242"/>
        <v>8</v>
      </c>
      <c r="H1126" s="108" t="str">
        <f t="shared" si="243"/>
        <v>완료</v>
      </c>
      <c r="I1126" s="112" t="s">
        <v>218</v>
      </c>
      <c r="J1126" s="4" t="s">
        <v>243</v>
      </c>
      <c r="K1126" s="5" t="s">
        <v>243</v>
      </c>
      <c r="L1126" s="6" t="str">
        <f t="shared" si="238"/>
        <v>K5</v>
      </c>
      <c r="M1126" s="13"/>
      <c r="N1126" s="7"/>
      <c r="O1126" s="13" t="s">
        <v>3235</v>
      </c>
      <c r="P1126" s="115"/>
      <c r="Q1126" s="8"/>
      <c r="R1126" s="2">
        <v>2</v>
      </c>
      <c r="S1126" s="9">
        <v>900</v>
      </c>
      <c r="T1126" s="10">
        <f t="shared" si="248"/>
        <v>900</v>
      </c>
      <c r="U1126" s="9">
        <v>0</v>
      </c>
      <c r="V1126" s="10">
        <f t="shared" si="249"/>
        <v>900</v>
      </c>
      <c r="W1126" s="4" t="s">
        <v>122</v>
      </c>
      <c r="X1126" s="2"/>
      <c r="Y1126" s="11">
        <v>1</v>
      </c>
      <c r="Z1126" s="12">
        <f t="shared" si="239"/>
        <v>0</v>
      </c>
      <c r="AA1126" s="4" t="s">
        <v>117</v>
      </c>
      <c r="AC1126" s="176">
        <f t="shared" si="232"/>
        <v>0</v>
      </c>
    </row>
    <row r="1127" spans="2:29">
      <c r="B1127" s="183">
        <f t="shared" si="240"/>
        <v>49</v>
      </c>
      <c r="C1127" s="107" t="str">
        <f t="shared" si="241"/>
        <v>ATK</v>
      </c>
      <c r="D1127" s="2" t="s">
        <v>3236</v>
      </c>
      <c r="E1127" s="3">
        <v>44046</v>
      </c>
      <c r="F1127" s="3">
        <v>44167</v>
      </c>
      <c r="G1127" s="108">
        <f t="shared" si="242"/>
        <v>12</v>
      </c>
      <c r="H1127" s="108" t="str">
        <f t="shared" si="243"/>
        <v>완료</v>
      </c>
      <c r="I1127" s="112" t="s">
        <v>218</v>
      </c>
      <c r="J1127" s="4" t="s">
        <v>115</v>
      </c>
      <c r="K1127" s="5" t="s">
        <v>116</v>
      </c>
      <c r="L1127" s="6" t="str">
        <f t="shared" si="238"/>
        <v>EE2</v>
      </c>
      <c r="M1127" s="13" t="s">
        <v>1672</v>
      </c>
      <c r="N1127" s="7"/>
      <c r="O1127" s="13" t="s">
        <v>1320</v>
      </c>
      <c r="P1127" s="115" t="s">
        <v>3237</v>
      </c>
      <c r="Q1127" s="8"/>
      <c r="R1127" s="2">
        <v>1</v>
      </c>
      <c r="S1127" s="9">
        <v>5000</v>
      </c>
      <c r="T1127" s="10">
        <f t="shared" si="248"/>
        <v>2500</v>
      </c>
      <c r="U1127" s="9">
        <v>60</v>
      </c>
      <c r="V1127" s="10">
        <f t="shared" si="249"/>
        <v>2440</v>
      </c>
      <c r="W1127" s="4" t="s">
        <v>122</v>
      </c>
      <c r="X1127" s="2"/>
      <c r="Y1127" s="11">
        <v>2</v>
      </c>
      <c r="Z1127" s="12">
        <f t="shared" si="239"/>
        <v>121</v>
      </c>
      <c r="AA1127" s="4" t="s">
        <v>117</v>
      </c>
      <c r="AC1127" s="176">
        <f t="shared" si="232"/>
        <v>5.4545454545454543E-2</v>
      </c>
    </row>
    <row r="1128" spans="2:29" ht="24">
      <c r="B1128" s="183">
        <f t="shared" si="240"/>
        <v>32</v>
      </c>
      <c r="C1128" s="107" t="str">
        <f t="shared" si="241"/>
        <v>ATK</v>
      </c>
      <c r="D1128" s="2" t="s">
        <v>3238</v>
      </c>
      <c r="E1128" s="3">
        <v>44047</v>
      </c>
      <c r="F1128" s="3">
        <v>44047</v>
      </c>
      <c r="G1128" s="108">
        <f t="shared" si="242"/>
        <v>8</v>
      </c>
      <c r="H1128" s="108" t="str">
        <f t="shared" si="243"/>
        <v>완료</v>
      </c>
      <c r="I1128" s="112" t="s">
        <v>218</v>
      </c>
      <c r="J1128" s="4" t="s">
        <v>251</v>
      </c>
      <c r="K1128" s="5" t="s">
        <v>251</v>
      </c>
      <c r="L1128" s="6" t="str">
        <f t="shared" si="238"/>
        <v>Oth</v>
      </c>
      <c r="M1128" s="13" t="s">
        <v>3239</v>
      </c>
      <c r="N1128" s="7" t="s">
        <v>3931</v>
      </c>
      <c r="O1128" s="13" t="s">
        <v>3240</v>
      </c>
      <c r="P1128" s="115" t="s">
        <v>3256</v>
      </c>
      <c r="Q1128" s="8" t="s">
        <v>3241</v>
      </c>
      <c r="R1128" s="2">
        <v>1</v>
      </c>
      <c r="S1128" s="9">
        <v>120</v>
      </c>
      <c r="T1128" s="10">
        <f t="shared" si="248"/>
        <v>60</v>
      </c>
      <c r="U1128" s="9">
        <v>0</v>
      </c>
      <c r="V1128" s="10">
        <f t="shared" si="249"/>
        <v>60</v>
      </c>
      <c r="W1128" s="4" t="s">
        <v>122</v>
      </c>
      <c r="X1128" s="2"/>
      <c r="Y1128" s="11">
        <v>3</v>
      </c>
      <c r="Z1128" s="12">
        <f t="shared" si="239"/>
        <v>0</v>
      </c>
      <c r="AA1128" s="4" t="s">
        <v>120</v>
      </c>
      <c r="AC1128" s="176">
        <f t="shared" si="232"/>
        <v>0</v>
      </c>
    </row>
    <row r="1129" spans="2:29">
      <c r="B1129" s="183">
        <f t="shared" si="240"/>
        <v>32</v>
      </c>
      <c r="C1129" s="107" t="str">
        <f t="shared" si="241"/>
        <v>ATK</v>
      </c>
      <c r="D1129" s="2" t="s">
        <v>724</v>
      </c>
      <c r="E1129" s="3">
        <v>44042</v>
      </c>
      <c r="F1129" s="3">
        <v>44047</v>
      </c>
      <c r="G1129" s="108">
        <f t="shared" si="242"/>
        <v>8</v>
      </c>
      <c r="H1129" s="108" t="str">
        <f t="shared" si="243"/>
        <v>완료</v>
      </c>
      <c r="I1129" s="112" t="s">
        <v>218</v>
      </c>
      <c r="J1129" s="4" t="s">
        <v>121</v>
      </c>
      <c r="K1129" s="5" t="s">
        <v>136</v>
      </c>
      <c r="L1129" s="6" t="str">
        <f t="shared" si="238"/>
        <v>5T1</v>
      </c>
      <c r="M1129" s="13" t="s">
        <v>3244</v>
      </c>
      <c r="N1129" s="7" t="s">
        <v>3932</v>
      </c>
      <c r="O1129" s="13" t="s">
        <v>3245</v>
      </c>
      <c r="P1129" s="115" t="s">
        <v>3246</v>
      </c>
      <c r="Q1129" s="8" t="s">
        <v>3247</v>
      </c>
      <c r="R1129" s="2">
        <v>1</v>
      </c>
      <c r="S1129" s="9">
        <v>4000</v>
      </c>
      <c r="T1129" s="10">
        <f t="shared" si="248"/>
        <v>2000</v>
      </c>
      <c r="U1129" s="9">
        <v>1</v>
      </c>
      <c r="V1129" s="10">
        <f t="shared" si="249"/>
        <v>1999</v>
      </c>
      <c r="W1129" s="4" t="s">
        <v>122</v>
      </c>
      <c r="X1129" s="2"/>
      <c r="Y1129" s="11">
        <v>3</v>
      </c>
      <c r="Z1129" s="12">
        <f t="shared" si="239"/>
        <v>5</v>
      </c>
      <c r="AA1129" s="4" t="s">
        <v>120</v>
      </c>
      <c r="AC1129" s="176">
        <f t="shared" si="232"/>
        <v>9.0909090909090909E-4</v>
      </c>
    </row>
    <row r="1130" spans="2:29">
      <c r="B1130" s="183">
        <f t="shared" si="240"/>
        <v>32</v>
      </c>
      <c r="C1130" s="107" t="str">
        <f t="shared" si="241"/>
        <v>ATK</v>
      </c>
      <c r="D1130" s="2" t="s">
        <v>3248</v>
      </c>
      <c r="E1130" s="3">
        <v>44047</v>
      </c>
      <c r="F1130" s="3">
        <v>44047</v>
      </c>
      <c r="G1130" s="108">
        <f t="shared" si="242"/>
        <v>8</v>
      </c>
      <c r="H1130" s="108" t="str">
        <f t="shared" si="243"/>
        <v>완료</v>
      </c>
      <c r="I1130" s="112" t="s">
        <v>218</v>
      </c>
      <c r="J1130" s="4" t="s">
        <v>3250</v>
      </c>
      <c r="K1130" s="5" t="s">
        <v>3251</v>
      </c>
      <c r="L1130" s="6" t="str">
        <f t="shared" si="238"/>
        <v>EE1</v>
      </c>
      <c r="M1130" s="13" t="s">
        <v>1143</v>
      </c>
      <c r="N1130" s="7" t="s">
        <v>3933</v>
      </c>
      <c r="O1130" s="13" t="s">
        <v>3254</v>
      </c>
      <c r="P1130" s="115" t="s">
        <v>1522</v>
      </c>
      <c r="Q1130" s="8"/>
      <c r="R1130" s="2">
        <v>1</v>
      </c>
      <c r="S1130" s="9">
        <v>1500</v>
      </c>
      <c r="T1130" s="10">
        <f t="shared" si="248"/>
        <v>750</v>
      </c>
      <c r="U1130" s="9">
        <v>1</v>
      </c>
      <c r="V1130" s="10">
        <f t="shared" si="249"/>
        <v>749</v>
      </c>
      <c r="W1130" s="4" t="s">
        <v>122</v>
      </c>
      <c r="X1130" s="2"/>
      <c r="Y1130" s="11">
        <v>5</v>
      </c>
      <c r="Z1130" s="12">
        <f t="shared" si="239"/>
        <v>0</v>
      </c>
      <c r="AA1130" s="4" t="s">
        <v>3253</v>
      </c>
      <c r="AC1130" s="176">
        <f t="shared" si="232"/>
        <v>9.0909090909090909E-4</v>
      </c>
    </row>
    <row r="1131" spans="2:29">
      <c r="B1131" s="183">
        <f t="shared" si="240"/>
        <v>32</v>
      </c>
      <c r="C1131" s="107" t="str">
        <f t="shared" si="241"/>
        <v>ATK</v>
      </c>
      <c r="D1131" s="2" t="s">
        <v>3249</v>
      </c>
      <c r="E1131" s="3">
        <v>44047</v>
      </c>
      <c r="F1131" s="3">
        <v>44047</v>
      </c>
      <c r="G1131" s="108">
        <f t="shared" si="242"/>
        <v>8</v>
      </c>
      <c r="H1131" s="108" t="str">
        <f t="shared" si="243"/>
        <v>완료</v>
      </c>
      <c r="I1131" s="112" t="s">
        <v>218</v>
      </c>
      <c r="J1131" s="4" t="s">
        <v>3250</v>
      </c>
      <c r="K1131" s="5" t="s">
        <v>3251</v>
      </c>
      <c r="L1131" s="6" t="str">
        <f t="shared" si="238"/>
        <v>EE1</v>
      </c>
      <c r="M1131" s="13" t="s">
        <v>226</v>
      </c>
      <c r="N1131" s="7" t="s">
        <v>140</v>
      </c>
      <c r="O1131" s="13" t="s">
        <v>3252</v>
      </c>
      <c r="P1131" s="115" t="s">
        <v>3255</v>
      </c>
      <c r="Q1131" s="8"/>
      <c r="R1131" s="2">
        <v>1</v>
      </c>
      <c r="S1131" s="9">
        <v>2500</v>
      </c>
      <c r="T1131" s="10">
        <f t="shared" si="248"/>
        <v>1250</v>
      </c>
      <c r="U1131" s="9">
        <v>1</v>
      </c>
      <c r="V1131" s="10">
        <f t="shared" si="249"/>
        <v>1249</v>
      </c>
      <c r="W1131" s="4" t="s">
        <v>122</v>
      </c>
      <c r="X1131" s="2"/>
      <c r="Y1131" s="11">
        <v>3</v>
      </c>
      <c r="Z1131" s="12">
        <f t="shared" si="239"/>
        <v>0</v>
      </c>
      <c r="AA1131" s="4" t="s">
        <v>3253</v>
      </c>
      <c r="AC1131" s="176">
        <f t="shared" si="232"/>
        <v>9.0909090909090909E-4</v>
      </c>
    </row>
    <row r="1132" spans="2:29">
      <c r="B1132" s="183">
        <f t="shared" si="240"/>
        <v>32</v>
      </c>
      <c r="C1132" s="107" t="str">
        <f t="shared" si="241"/>
        <v>ATK</v>
      </c>
      <c r="D1132" s="2" t="s">
        <v>3257</v>
      </c>
      <c r="E1132" s="3">
        <v>44048</v>
      </c>
      <c r="F1132" s="3">
        <v>44048</v>
      </c>
      <c r="G1132" s="108">
        <f t="shared" si="242"/>
        <v>8</v>
      </c>
      <c r="H1132" s="108" t="str">
        <f t="shared" si="243"/>
        <v>완료</v>
      </c>
      <c r="I1132" s="112" t="s">
        <v>218</v>
      </c>
      <c r="J1132" s="4" t="s">
        <v>3258</v>
      </c>
      <c r="K1132" s="5" t="s">
        <v>3259</v>
      </c>
      <c r="L1132" s="6" t="str">
        <f t="shared" si="238"/>
        <v>Bum</v>
      </c>
      <c r="M1132" s="13" t="s">
        <v>3260</v>
      </c>
      <c r="N1132" s="7" t="s">
        <v>140</v>
      </c>
      <c r="O1132" s="13" t="s">
        <v>3261</v>
      </c>
      <c r="P1132" s="115" t="s">
        <v>3262</v>
      </c>
      <c r="Q1132" s="8"/>
      <c r="R1132" s="2">
        <v>1</v>
      </c>
      <c r="S1132" s="9">
        <v>3000</v>
      </c>
      <c r="T1132" s="10">
        <f t="shared" si="248"/>
        <v>1500</v>
      </c>
      <c r="U1132" s="9">
        <v>5</v>
      </c>
      <c r="V1132" s="10">
        <f t="shared" si="249"/>
        <v>1495</v>
      </c>
      <c r="W1132" s="4" t="s">
        <v>122</v>
      </c>
      <c r="X1132" s="2"/>
      <c r="Y1132" s="11">
        <v>3</v>
      </c>
      <c r="Z1132" s="12">
        <f t="shared" si="239"/>
        <v>0</v>
      </c>
      <c r="AA1132" s="4" t="s">
        <v>27</v>
      </c>
      <c r="AC1132" s="176">
        <f t="shared" si="232"/>
        <v>4.5454545454545452E-3</v>
      </c>
    </row>
    <row r="1133" spans="2:29">
      <c r="B1133" s="183">
        <f t="shared" si="240"/>
        <v>32</v>
      </c>
      <c r="C1133" s="107" t="str">
        <f t="shared" si="241"/>
        <v>ATK</v>
      </c>
      <c r="D1133" s="2" t="s">
        <v>3263</v>
      </c>
      <c r="E1133" s="3">
        <v>44047</v>
      </c>
      <c r="F1133" s="3">
        <v>44048</v>
      </c>
      <c r="G1133" s="108">
        <f t="shared" si="242"/>
        <v>8</v>
      </c>
      <c r="H1133" s="108" t="str">
        <f t="shared" si="243"/>
        <v>Other</v>
      </c>
      <c r="I1133" s="112" t="s">
        <v>3264</v>
      </c>
      <c r="J1133" s="4" t="s">
        <v>3265</v>
      </c>
      <c r="K1133" s="5" t="s">
        <v>3266</v>
      </c>
      <c r="L1133" s="6" t="str">
        <f t="shared" si="238"/>
        <v>5T1</v>
      </c>
      <c r="M1133" s="13" t="s">
        <v>3267</v>
      </c>
      <c r="N1133" s="7" t="s">
        <v>3934</v>
      </c>
      <c r="O1133" s="13" t="s">
        <v>3267</v>
      </c>
      <c r="P1133" s="115" t="s">
        <v>3268</v>
      </c>
      <c r="Q1133" s="8"/>
      <c r="R1133" s="2">
        <v>1</v>
      </c>
      <c r="S1133" s="9">
        <v>500</v>
      </c>
      <c r="T1133" s="10">
        <f t="shared" si="248"/>
        <v>250</v>
      </c>
      <c r="U1133" s="9">
        <v>0</v>
      </c>
      <c r="V1133" s="10">
        <f t="shared" si="249"/>
        <v>250</v>
      </c>
      <c r="W1133" s="4" t="s">
        <v>3269</v>
      </c>
      <c r="X1133" s="2"/>
      <c r="Y1133" s="11">
        <v>6</v>
      </c>
      <c r="Z1133" s="12">
        <f t="shared" si="239"/>
        <v>1</v>
      </c>
      <c r="AA1133" s="4" t="s">
        <v>3270</v>
      </c>
      <c r="AC1133" s="176">
        <f t="shared" si="232"/>
        <v>0</v>
      </c>
    </row>
    <row r="1134" spans="2:29">
      <c r="B1134" s="183">
        <f t="shared" si="240"/>
        <v>36</v>
      </c>
      <c r="C1134" s="107" t="str">
        <f t="shared" si="241"/>
        <v>ATK</v>
      </c>
      <c r="D1134" s="2" t="s">
        <v>3271</v>
      </c>
      <c r="E1134" s="3">
        <v>44048</v>
      </c>
      <c r="F1134" s="3">
        <v>44074</v>
      </c>
      <c r="G1134" s="108">
        <f t="shared" si="242"/>
        <v>8</v>
      </c>
      <c r="H1134" s="108" t="str">
        <f t="shared" si="243"/>
        <v>완료</v>
      </c>
      <c r="I1134" s="112" t="s">
        <v>514</v>
      </c>
      <c r="J1134" s="4" t="s">
        <v>3272</v>
      </c>
      <c r="K1134" s="5" t="s">
        <v>3273</v>
      </c>
      <c r="L1134" s="6" t="str">
        <f t="shared" si="238"/>
        <v>1T1</v>
      </c>
      <c r="M1134" s="13" t="s">
        <v>3274</v>
      </c>
      <c r="N1134" s="7" t="s">
        <v>3913</v>
      </c>
      <c r="O1134" s="13" t="s">
        <v>3275</v>
      </c>
      <c r="P1134" s="115" t="s">
        <v>3276</v>
      </c>
      <c r="Q1134" s="8" t="s">
        <v>3279</v>
      </c>
      <c r="R1134" s="2">
        <v>1</v>
      </c>
      <c r="S1134" s="9">
        <v>2500</v>
      </c>
      <c r="T1134" s="10">
        <f t="shared" si="248"/>
        <v>1250</v>
      </c>
      <c r="U1134" s="9">
        <v>0</v>
      </c>
      <c r="V1134" s="10">
        <f t="shared" si="249"/>
        <v>1250</v>
      </c>
      <c r="W1134" s="4" t="s">
        <v>3277</v>
      </c>
      <c r="X1134" s="2" t="s">
        <v>2211</v>
      </c>
      <c r="Y1134" s="11">
        <v>1</v>
      </c>
      <c r="Z1134" s="12">
        <f t="shared" si="239"/>
        <v>26</v>
      </c>
      <c r="AA1134" s="4" t="s">
        <v>3278</v>
      </c>
      <c r="AC1134" s="176">
        <f t="shared" si="232"/>
        <v>0</v>
      </c>
    </row>
    <row r="1135" spans="2:29">
      <c r="B1135" s="183">
        <f t="shared" si="240"/>
        <v>32</v>
      </c>
      <c r="C1135" s="107" t="str">
        <f t="shared" si="241"/>
        <v>ATK</v>
      </c>
      <c r="D1135" s="2" t="s">
        <v>3280</v>
      </c>
      <c r="E1135" s="3">
        <v>44048</v>
      </c>
      <c r="F1135" s="3">
        <v>44048</v>
      </c>
      <c r="G1135" s="108">
        <f t="shared" si="242"/>
        <v>8</v>
      </c>
      <c r="H1135" s="108" t="str">
        <f t="shared" si="243"/>
        <v>완료</v>
      </c>
      <c r="I1135" s="112" t="s">
        <v>218</v>
      </c>
      <c r="J1135" s="4" t="s">
        <v>132</v>
      </c>
      <c r="K1135" s="5" t="s">
        <v>2771</v>
      </c>
      <c r="L1135" s="6" t="str">
        <f t="shared" si="238"/>
        <v>3T8</v>
      </c>
      <c r="M1135" s="13" t="s">
        <v>542</v>
      </c>
      <c r="N1135" s="7" t="s">
        <v>3885</v>
      </c>
      <c r="O1135" s="7" t="s">
        <v>543</v>
      </c>
      <c r="P1135" s="115" t="s">
        <v>544</v>
      </c>
      <c r="Q1135" s="8"/>
      <c r="R1135" s="2">
        <v>1</v>
      </c>
      <c r="S1135" s="9">
        <v>70</v>
      </c>
      <c r="T1135" s="10">
        <f t="shared" si="248"/>
        <v>35</v>
      </c>
      <c r="U1135" s="9">
        <v>1</v>
      </c>
      <c r="V1135" s="10">
        <f t="shared" si="249"/>
        <v>34</v>
      </c>
      <c r="W1135" s="4" t="s">
        <v>122</v>
      </c>
      <c r="X1135" s="2"/>
      <c r="Y1135" s="11">
        <v>2</v>
      </c>
      <c r="Z1135" s="12">
        <f t="shared" si="239"/>
        <v>0</v>
      </c>
      <c r="AA1135" s="4" t="s">
        <v>120</v>
      </c>
      <c r="AC1135" s="176">
        <f t="shared" si="232"/>
        <v>9.0909090909090909E-4</v>
      </c>
    </row>
    <row r="1136" spans="2:29">
      <c r="B1136" s="183">
        <f t="shared" si="240"/>
        <v>32</v>
      </c>
      <c r="C1136" s="107" t="str">
        <f t="shared" si="241"/>
        <v>ATK</v>
      </c>
      <c r="D1136" s="2" t="s">
        <v>3281</v>
      </c>
      <c r="E1136" s="3">
        <v>44048</v>
      </c>
      <c r="F1136" s="3">
        <v>44048</v>
      </c>
      <c r="G1136" s="108">
        <f t="shared" si="242"/>
        <v>8</v>
      </c>
      <c r="H1136" s="108" t="str">
        <f t="shared" si="243"/>
        <v>완료</v>
      </c>
      <c r="I1136" s="112" t="s">
        <v>218</v>
      </c>
      <c r="J1136" s="4" t="s">
        <v>121</v>
      </c>
      <c r="K1136" s="5" t="s">
        <v>136</v>
      </c>
      <c r="L1136" s="6" t="str">
        <f t="shared" si="238"/>
        <v>5T1</v>
      </c>
      <c r="M1136" s="13" t="s">
        <v>3282</v>
      </c>
      <c r="N1136" s="7" t="s">
        <v>3935</v>
      </c>
      <c r="O1136" s="13" t="s">
        <v>3283</v>
      </c>
      <c r="P1136" s="115"/>
      <c r="Q1136" s="8"/>
      <c r="R1136" s="2">
        <v>1</v>
      </c>
      <c r="S1136" s="9">
        <v>2200</v>
      </c>
      <c r="T1136" s="10">
        <f t="shared" si="248"/>
        <v>1100</v>
      </c>
      <c r="U1136" s="9">
        <v>3</v>
      </c>
      <c r="V1136" s="10">
        <f t="shared" si="249"/>
        <v>1097</v>
      </c>
      <c r="W1136" s="4" t="s">
        <v>122</v>
      </c>
      <c r="X1136" s="2"/>
      <c r="Y1136" s="11">
        <v>2</v>
      </c>
      <c r="Z1136" s="12">
        <f t="shared" si="239"/>
        <v>0</v>
      </c>
      <c r="AA1136" s="4" t="s">
        <v>117</v>
      </c>
      <c r="AC1136" s="176">
        <f t="shared" si="232"/>
        <v>2.7272727272727275E-3</v>
      </c>
    </row>
    <row r="1137" spans="2:29">
      <c r="B1137" s="183">
        <f t="shared" si="240"/>
        <v>32</v>
      </c>
      <c r="C1137" s="107" t="str">
        <f t="shared" si="241"/>
        <v>ATK</v>
      </c>
      <c r="D1137" s="2" t="s">
        <v>773</v>
      </c>
      <c r="E1137" s="3">
        <v>44048</v>
      </c>
      <c r="F1137" s="3">
        <v>44048</v>
      </c>
      <c r="G1137" s="108">
        <f t="shared" si="242"/>
        <v>8</v>
      </c>
      <c r="H1137" s="108" t="str">
        <f t="shared" si="243"/>
        <v>완료</v>
      </c>
      <c r="I1137" s="112" t="s">
        <v>218</v>
      </c>
      <c r="J1137" s="4" t="s">
        <v>132</v>
      </c>
      <c r="K1137" s="5" t="s">
        <v>322</v>
      </c>
      <c r="L1137" s="6" t="str">
        <f t="shared" si="238"/>
        <v>3T1</v>
      </c>
      <c r="M1137" s="13" t="s">
        <v>2725</v>
      </c>
      <c r="N1137" s="7" t="s">
        <v>3881</v>
      </c>
      <c r="O1137" s="13" t="s">
        <v>1002</v>
      </c>
      <c r="P1137" s="115" t="s">
        <v>2726</v>
      </c>
      <c r="Q1137" s="8" t="s">
        <v>500</v>
      </c>
      <c r="R1137" s="2">
        <v>1</v>
      </c>
      <c r="S1137" s="9">
        <v>700</v>
      </c>
      <c r="T1137" s="10">
        <f t="shared" ref="T1137:T1138" si="250">(S1137*50)/100*R1137</f>
        <v>350</v>
      </c>
      <c r="U1137" s="9">
        <v>1</v>
      </c>
      <c r="V1137" s="10">
        <f t="shared" ref="V1137:V1138" si="251">T1137-U1137</f>
        <v>349</v>
      </c>
      <c r="W1137" s="4" t="s">
        <v>122</v>
      </c>
      <c r="X1137" s="2"/>
      <c r="Y1137" s="11">
        <v>2</v>
      </c>
      <c r="Z1137" s="12">
        <f t="shared" si="239"/>
        <v>0</v>
      </c>
      <c r="AA1137" s="4" t="s">
        <v>117</v>
      </c>
      <c r="AC1137" s="176">
        <f t="shared" si="232"/>
        <v>9.0909090909090909E-4</v>
      </c>
    </row>
    <row r="1138" spans="2:29">
      <c r="B1138" s="183">
        <f t="shared" si="240"/>
        <v>32</v>
      </c>
      <c r="C1138" s="107" t="str">
        <f t="shared" si="241"/>
        <v>ATK</v>
      </c>
      <c r="D1138" s="2" t="s">
        <v>3284</v>
      </c>
      <c r="E1138" s="3">
        <v>44049</v>
      </c>
      <c r="F1138" s="3">
        <v>44049</v>
      </c>
      <c r="G1138" s="108">
        <f t="shared" si="242"/>
        <v>8</v>
      </c>
      <c r="H1138" s="108" t="str">
        <f t="shared" si="243"/>
        <v>완료</v>
      </c>
      <c r="I1138" s="112" t="s">
        <v>218</v>
      </c>
      <c r="J1138" s="4" t="s">
        <v>132</v>
      </c>
      <c r="K1138" s="5" t="s">
        <v>133</v>
      </c>
      <c r="L1138" s="6" t="str">
        <f t="shared" si="238"/>
        <v>3T3</v>
      </c>
      <c r="M1138" s="13" t="s">
        <v>226</v>
      </c>
      <c r="N1138" s="7" t="s">
        <v>3564</v>
      </c>
      <c r="O1138" s="13" t="s">
        <v>636</v>
      </c>
      <c r="P1138" s="115" t="s">
        <v>750</v>
      </c>
      <c r="Q1138" s="8"/>
      <c r="R1138" s="2">
        <v>1</v>
      </c>
      <c r="S1138" s="9">
        <v>800</v>
      </c>
      <c r="T1138" s="10">
        <f t="shared" si="250"/>
        <v>400</v>
      </c>
      <c r="U1138" s="9">
        <v>50</v>
      </c>
      <c r="V1138" s="10">
        <f t="shared" si="251"/>
        <v>350</v>
      </c>
      <c r="W1138" s="4" t="s">
        <v>122</v>
      </c>
      <c r="X1138" s="2"/>
      <c r="Y1138" s="11">
        <v>1</v>
      </c>
      <c r="Z1138" s="12">
        <f t="shared" si="239"/>
        <v>0</v>
      </c>
      <c r="AA1138" s="4" t="s">
        <v>117</v>
      </c>
      <c r="AC1138" s="176">
        <f t="shared" ref="AC1138:AC1201" si="252">U1138/1100</f>
        <v>4.5454545454545456E-2</v>
      </c>
    </row>
    <row r="1139" spans="2:29">
      <c r="B1139" s="183">
        <f t="shared" si="240"/>
        <v>32</v>
      </c>
      <c r="C1139" s="107" t="str">
        <f t="shared" si="241"/>
        <v>ATK</v>
      </c>
      <c r="D1139" s="2" t="s">
        <v>3285</v>
      </c>
      <c r="E1139" s="3">
        <v>44049</v>
      </c>
      <c r="F1139" s="3">
        <v>44049</v>
      </c>
      <c r="G1139" s="108">
        <f t="shared" si="242"/>
        <v>8</v>
      </c>
      <c r="H1139" s="108" t="str">
        <f t="shared" si="243"/>
        <v>Other</v>
      </c>
      <c r="I1139" s="112" t="s">
        <v>251</v>
      </c>
      <c r="J1139" s="4" t="s">
        <v>3289</v>
      </c>
      <c r="K1139" s="5" t="s">
        <v>3289</v>
      </c>
      <c r="L1139" s="6" t="str">
        <f t="shared" si="238"/>
        <v>Oth</v>
      </c>
      <c r="M1139" s="13" t="s">
        <v>2910</v>
      </c>
      <c r="N1139" s="7" t="s">
        <v>3936</v>
      </c>
      <c r="O1139" s="13" t="s">
        <v>3298</v>
      </c>
      <c r="P1139" s="115" t="s">
        <v>3299</v>
      </c>
      <c r="Q1139" s="8"/>
      <c r="R1139" s="2">
        <v>1</v>
      </c>
      <c r="S1139" s="9">
        <v>0</v>
      </c>
      <c r="T1139" s="10">
        <f t="shared" si="248"/>
        <v>0</v>
      </c>
      <c r="U1139" s="9">
        <v>0</v>
      </c>
      <c r="V1139" s="10">
        <f t="shared" si="249"/>
        <v>0</v>
      </c>
      <c r="W1139" s="4" t="s">
        <v>122</v>
      </c>
      <c r="X1139" s="2"/>
      <c r="Y1139" s="11">
        <v>3</v>
      </c>
      <c r="Z1139" s="12">
        <f t="shared" si="239"/>
        <v>0</v>
      </c>
      <c r="AA1139" s="4" t="s">
        <v>3297</v>
      </c>
      <c r="AC1139" s="176">
        <f t="shared" si="252"/>
        <v>0</v>
      </c>
    </row>
    <row r="1140" spans="2:29">
      <c r="B1140" s="183">
        <f t="shared" si="240"/>
        <v>32</v>
      </c>
      <c r="C1140" s="107" t="str">
        <f t="shared" si="241"/>
        <v>ATK</v>
      </c>
      <c r="D1140" s="2" t="s">
        <v>3285</v>
      </c>
      <c r="E1140" s="3">
        <v>44049</v>
      </c>
      <c r="F1140" s="3">
        <v>44049</v>
      </c>
      <c r="G1140" s="108">
        <f t="shared" si="242"/>
        <v>8</v>
      </c>
      <c r="H1140" s="108" t="str">
        <f t="shared" si="243"/>
        <v>Other</v>
      </c>
      <c r="I1140" s="112" t="s">
        <v>251</v>
      </c>
      <c r="J1140" s="4" t="s">
        <v>3289</v>
      </c>
      <c r="K1140" s="5" t="s">
        <v>3289</v>
      </c>
      <c r="L1140" s="6" t="str">
        <f t="shared" si="238"/>
        <v>Oth</v>
      </c>
      <c r="M1140" s="13" t="s">
        <v>2910</v>
      </c>
      <c r="N1140" s="7" t="s">
        <v>3936</v>
      </c>
      <c r="O1140" s="13" t="s">
        <v>3298</v>
      </c>
      <c r="P1140" s="115" t="s">
        <v>3299</v>
      </c>
      <c r="Q1140" s="8"/>
      <c r="R1140" s="2">
        <v>1</v>
      </c>
      <c r="S1140" s="9">
        <v>0</v>
      </c>
      <c r="T1140" s="10">
        <f t="shared" si="248"/>
        <v>0</v>
      </c>
      <c r="U1140" s="9">
        <v>0</v>
      </c>
      <c r="V1140" s="10">
        <f t="shared" si="249"/>
        <v>0</v>
      </c>
      <c r="W1140" s="4" t="s">
        <v>122</v>
      </c>
      <c r="X1140" s="2"/>
      <c r="Y1140" s="11">
        <v>3</v>
      </c>
      <c r="Z1140" s="12">
        <f t="shared" si="239"/>
        <v>0</v>
      </c>
      <c r="AA1140" s="4" t="s">
        <v>3290</v>
      </c>
      <c r="AC1140" s="176">
        <f t="shared" si="252"/>
        <v>0</v>
      </c>
    </row>
    <row r="1141" spans="2:29">
      <c r="B1141" s="183">
        <f t="shared" si="240"/>
        <v>32</v>
      </c>
      <c r="C1141" s="107" t="str">
        <f t="shared" si="241"/>
        <v>ATK</v>
      </c>
      <c r="D1141" s="2" t="s">
        <v>3286</v>
      </c>
      <c r="E1141" s="3">
        <v>44049</v>
      </c>
      <c r="F1141" s="3">
        <v>44049</v>
      </c>
      <c r="G1141" s="108">
        <f t="shared" si="242"/>
        <v>8</v>
      </c>
      <c r="H1141" s="108" t="str">
        <f t="shared" si="243"/>
        <v>Other</v>
      </c>
      <c r="I1141" s="112" t="s">
        <v>251</v>
      </c>
      <c r="J1141" s="4" t="s">
        <v>3287</v>
      </c>
      <c r="K1141" s="5" t="s">
        <v>3288</v>
      </c>
      <c r="L1141" s="6" t="str">
        <f t="shared" si="238"/>
        <v>2T1</v>
      </c>
      <c r="M1141" s="13" t="s">
        <v>3300</v>
      </c>
      <c r="N1141" s="7" t="s">
        <v>3937</v>
      </c>
      <c r="O1141" s="13" t="s">
        <v>3301</v>
      </c>
      <c r="P1141" s="115" t="s">
        <v>3302</v>
      </c>
      <c r="Q1141" s="8"/>
      <c r="R1141" s="2">
        <v>1</v>
      </c>
      <c r="S1141" s="9">
        <v>0</v>
      </c>
      <c r="T1141" s="10">
        <f t="shared" si="248"/>
        <v>0</v>
      </c>
      <c r="U1141" s="9">
        <v>0</v>
      </c>
      <c r="V1141" s="10">
        <f t="shared" si="249"/>
        <v>0</v>
      </c>
      <c r="W1141" s="4" t="s">
        <v>122</v>
      </c>
      <c r="X1141" s="2"/>
      <c r="Y1141" s="11">
        <v>6</v>
      </c>
      <c r="Z1141" s="12">
        <f t="shared" si="239"/>
        <v>0</v>
      </c>
      <c r="AA1141" s="4" t="s">
        <v>3290</v>
      </c>
      <c r="AC1141" s="176">
        <f t="shared" si="252"/>
        <v>0</v>
      </c>
    </row>
    <row r="1142" spans="2:29">
      <c r="B1142" s="183">
        <f t="shared" si="240"/>
        <v>32</v>
      </c>
      <c r="C1142" s="107" t="str">
        <f t="shared" si="241"/>
        <v>ATK</v>
      </c>
      <c r="D1142" s="2" t="s">
        <v>3286</v>
      </c>
      <c r="E1142" s="3">
        <v>44049</v>
      </c>
      <c r="F1142" s="3">
        <v>44049</v>
      </c>
      <c r="G1142" s="108">
        <f t="shared" si="242"/>
        <v>8</v>
      </c>
      <c r="H1142" s="108" t="str">
        <f t="shared" si="243"/>
        <v>Other</v>
      </c>
      <c r="I1142" s="112" t="s">
        <v>251</v>
      </c>
      <c r="J1142" s="4" t="s">
        <v>3287</v>
      </c>
      <c r="K1142" s="5" t="s">
        <v>3288</v>
      </c>
      <c r="L1142" s="6" t="str">
        <f t="shared" si="238"/>
        <v>2T1</v>
      </c>
      <c r="M1142" s="13" t="s">
        <v>3300</v>
      </c>
      <c r="N1142" s="7" t="s">
        <v>3937</v>
      </c>
      <c r="O1142" s="13" t="s">
        <v>3301</v>
      </c>
      <c r="P1142" s="115" t="s">
        <v>3302</v>
      </c>
      <c r="Q1142" s="8"/>
      <c r="R1142" s="2">
        <v>1</v>
      </c>
      <c r="S1142" s="9">
        <v>0</v>
      </c>
      <c r="T1142" s="10">
        <f t="shared" si="248"/>
        <v>0</v>
      </c>
      <c r="U1142" s="9">
        <v>0</v>
      </c>
      <c r="V1142" s="10">
        <f t="shared" si="249"/>
        <v>0</v>
      </c>
      <c r="W1142" s="4" t="s">
        <v>122</v>
      </c>
      <c r="X1142" s="2"/>
      <c r="Y1142" s="11">
        <v>6</v>
      </c>
      <c r="Z1142" s="12">
        <f t="shared" si="239"/>
        <v>0</v>
      </c>
      <c r="AA1142" s="4" t="s">
        <v>3303</v>
      </c>
      <c r="AC1142" s="176">
        <f t="shared" si="252"/>
        <v>0</v>
      </c>
    </row>
    <row r="1143" spans="2:29">
      <c r="B1143" s="183">
        <f t="shared" si="240"/>
        <v>35</v>
      </c>
      <c r="C1143" s="107" t="str">
        <f t="shared" si="241"/>
        <v>ATK</v>
      </c>
      <c r="D1143" s="2" t="s">
        <v>3297</v>
      </c>
      <c r="E1143" s="3">
        <v>44050</v>
      </c>
      <c r="F1143" s="3">
        <v>44067</v>
      </c>
      <c r="G1143" s="108">
        <f t="shared" si="242"/>
        <v>8</v>
      </c>
      <c r="H1143" s="108" t="str">
        <f t="shared" si="243"/>
        <v>완료</v>
      </c>
      <c r="I1143" s="112" t="s">
        <v>514</v>
      </c>
      <c r="J1143" s="4" t="s">
        <v>3291</v>
      </c>
      <c r="K1143" s="5" t="s">
        <v>3292</v>
      </c>
      <c r="L1143" s="6" t="str">
        <f t="shared" si="238"/>
        <v>EE1</v>
      </c>
      <c r="M1143" s="13" t="s">
        <v>3293</v>
      </c>
      <c r="N1143" s="7" t="s">
        <v>3938</v>
      </c>
      <c r="O1143" s="7" t="s">
        <v>3294</v>
      </c>
      <c r="P1143" s="115"/>
      <c r="Q1143" s="8"/>
      <c r="R1143" s="2">
        <v>1</v>
      </c>
      <c r="S1143" s="9">
        <v>2000</v>
      </c>
      <c r="T1143" s="10">
        <f t="shared" si="248"/>
        <v>1000</v>
      </c>
      <c r="U1143" s="9">
        <v>190</v>
      </c>
      <c r="V1143" s="10">
        <f t="shared" si="249"/>
        <v>810</v>
      </c>
      <c r="W1143" s="4" t="s">
        <v>3295</v>
      </c>
      <c r="X1143" s="2" t="s">
        <v>3296</v>
      </c>
      <c r="Y1143" s="11">
        <v>1</v>
      </c>
      <c r="Z1143" s="12">
        <f t="shared" si="239"/>
        <v>17</v>
      </c>
      <c r="AA1143" s="4" t="s">
        <v>3297</v>
      </c>
      <c r="AC1143" s="176">
        <f t="shared" si="252"/>
        <v>0.17272727272727273</v>
      </c>
    </row>
    <row r="1144" spans="2:29">
      <c r="B1144" s="183">
        <f t="shared" si="240"/>
        <v>32</v>
      </c>
      <c r="C1144" s="107" t="str">
        <f t="shared" si="241"/>
        <v>ATK</v>
      </c>
      <c r="D1144" s="2" t="s">
        <v>3304</v>
      </c>
      <c r="E1144" s="3">
        <v>44050</v>
      </c>
      <c r="F1144" s="3">
        <v>44050</v>
      </c>
      <c r="G1144" s="108">
        <f t="shared" si="242"/>
        <v>8</v>
      </c>
      <c r="H1144" s="108" t="str">
        <f t="shared" si="243"/>
        <v>완료</v>
      </c>
      <c r="I1144" s="112" t="s">
        <v>218</v>
      </c>
      <c r="J1144" s="4" t="s">
        <v>132</v>
      </c>
      <c r="K1144" s="5" t="s">
        <v>133</v>
      </c>
      <c r="L1144" s="6" t="str">
        <f t="shared" si="238"/>
        <v>3T3</v>
      </c>
      <c r="M1144" s="13" t="s">
        <v>454</v>
      </c>
      <c r="N1144" s="7" t="s">
        <v>3861</v>
      </c>
      <c r="O1144" s="13" t="s">
        <v>286</v>
      </c>
      <c r="P1144" s="115"/>
      <c r="Q1144" s="8"/>
      <c r="R1144" s="2">
        <v>2</v>
      </c>
      <c r="S1144" s="9">
        <v>400</v>
      </c>
      <c r="T1144" s="10">
        <f t="shared" si="248"/>
        <v>400</v>
      </c>
      <c r="U1144" s="9">
        <v>6</v>
      </c>
      <c r="V1144" s="10">
        <f t="shared" si="249"/>
        <v>394</v>
      </c>
      <c r="W1144" s="4" t="s">
        <v>122</v>
      </c>
      <c r="X1144" s="2"/>
      <c r="Y1144" s="11">
        <v>1</v>
      </c>
      <c r="Z1144" s="12">
        <f t="shared" si="239"/>
        <v>0</v>
      </c>
      <c r="AA1144" s="4" t="s">
        <v>117</v>
      </c>
      <c r="AC1144" s="176">
        <f t="shared" si="252"/>
        <v>5.454545454545455E-3</v>
      </c>
    </row>
    <row r="1145" spans="2:29">
      <c r="B1145" s="183">
        <f t="shared" si="240"/>
        <v>32</v>
      </c>
      <c r="C1145" s="107" t="str">
        <f t="shared" si="241"/>
        <v>ATK</v>
      </c>
      <c r="D1145" s="2" t="s">
        <v>3305</v>
      </c>
      <c r="E1145" s="3">
        <v>44049</v>
      </c>
      <c r="F1145" s="3">
        <v>44050</v>
      </c>
      <c r="G1145" s="108">
        <f t="shared" si="242"/>
        <v>8</v>
      </c>
      <c r="H1145" s="108" t="str">
        <f t="shared" si="243"/>
        <v>완료</v>
      </c>
      <c r="I1145" s="112" t="s">
        <v>218</v>
      </c>
      <c r="J1145" s="4" t="s">
        <v>132</v>
      </c>
      <c r="K1145" s="5" t="s">
        <v>1193</v>
      </c>
      <c r="L1145" s="6" t="str">
        <f t="shared" si="238"/>
        <v>3T2</v>
      </c>
      <c r="M1145" s="13" t="s">
        <v>3306</v>
      </c>
      <c r="N1145" s="7" t="s">
        <v>3850</v>
      </c>
      <c r="O1145" s="13" t="s">
        <v>3307</v>
      </c>
      <c r="P1145" s="115" t="s">
        <v>3308</v>
      </c>
      <c r="Q1145" s="8"/>
      <c r="R1145" s="2">
        <v>1</v>
      </c>
      <c r="S1145" s="9">
        <v>500</v>
      </c>
      <c r="T1145" s="10">
        <f t="shared" si="248"/>
        <v>250</v>
      </c>
      <c r="U1145" s="9">
        <v>1</v>
      </c>
      <c r="V1145" s="10">
        <f t="shared" si="249"/>
        <v>249</v>
      </c>
      <c r="W1145" s="4" t="s">
        <v>122</v>
      </c>
      <c r="X1145" s="2"/>
      <c r="Y1145" s="11">
        <v>2</v>
      </c>
      <c r="Z1145" s="12">
        <f t="shared" si="239"/>
        <v>1</v>
      </c>
      <c r="AA1145" s="4" t="s">
        <v>259</v>
      </c>
      <c r="AC1145" s="176">
        <f t="shared" si="252"/>
        <v>9.0909090909090909E-4</v>
      </c>
    </row>
    <row r="1146" spans="2:29">
      <c r="B1146" s="183">
        <f t="shared" si="240"/>
        <v>32</v>
      </c>
      <c r="C1146" s="107" t="str">
        <f t="shared" si="241"/>
        <v>ATK</v>
      </c>
      <c r="D1146" s="2" t="s">
        <v>3309</v>
      </c>
      <c r="E1146" s="3">
        <v>44050</v>
      </c>
      <c r="F1146" s="3">
        <v>44050</v>
      </c>
      <c r="G1146" s="108">
        <f t="shared" si="242"/>
        <v>8</v>
      </c>
      <c r="H1146" s="108" t="str">
        <f t="shared" si="243"/>
        <v>완료</v>
      </c>
      <c r="I1146" s="112" t="s">
        <v>218</v>
      </c>
      <c r="J1146" s="4" t="s">
        <v>121</v>
      </c>
      <c r="K1146" s="5" t="s">
        <v>229</v>
      </c>
      <c r="L1146" s="6" t="str">
        <f t="shared" si="238"/>
        <v>5T2</v>
      </c>
      <c r="M1146" s="13"/>
      <c r="N1146" s="7" t="s">
        <v>3939</v>
      </c>
      <c r="O1146" s="13" t="s">
        <v>3310</v>
      </c>
      <c r="P1146" s="115" t="s">
        <v>3311</v>
      </c>
      <c r="Q1146" s="8"/>
      <c r="R1146" s="2">
        <v>1</v>
      </c>
      <c r="S1146" s="9">
        <v>1200</v>
      </c>
      <c r="T1146" s="10">
        <f t="shared" si="248"/>
        <v>600</v>
      </c>
      <c r="U1146" s="9">
        <v>10</v>
      </c>
      <c r="V1146" s="10">
        <f t="shared" si="249"/>
        <v>590</v>
      </c>
      <c r="W1146" s="4" t="s">
        <v>122</v>
      </c>
      <c r="X1146" s="2"/>
      <c r="Y1146" s="11">
        <v>6</v>
      </c>
      <c r="Z1146" s="12">
        <f t="shared" si="239"/>
        <v>0</v>
      </c>
      <c r="AA1146" s="4" t="s">
        <v>259</v>
      </c>
      <c r="AC1146" s="176">
        <f t="shared" si="252"/>
        <v>9.0909090909090905E-3</v>
      </c>
    </row>
    <row r="1147" spans="2:29">
      <c r="B1147" s="183">
        <f t="shared" si="240"/>
        <v>32</v>
      </c>
      <c r="C1147" s="107" t="str">
        <f t="shared" si="241"/>
        <v>ATK</v>
      </c>
      <c r="D1147" s="2" t="s">
        <v>3312</v>
      </c>
      <c r="E1147" s="3">
        <v>44050</v>
      </c>
      <c r="F1147" s="3">
        <v>44050</v>
      </c>
      <c r="G1147" s="108">
        <f t="shared" si="242"/>
        <v>8</v>
      </c>
      <c r="H1147" s="108" t="str">
        <f t="shared" si="243"/>
        <v>완료</v>
      </c>
      <c r="I1147" s="112" t="s">
        <v>3313</v>
      </c>
      <c r="J1147" s="4" t="s">
        <v>3314</v>
      </c>
      <c r="K1147" s="5" t="s">
        <v>3315</v>
      </c>
      <c r="L1147" s="6" t="str">
        <f t="shared" si="238"/>
        <v>2T1</v>
      </c>
      <c r="M1147" s="13" t="s">
        <v>3316</v>
      </c>
      <c r="N1147" s="7" t="s">
        <v>3940</v>
      </c>
      <c r="O1147" s="13" t="s">
        <v>3317</v>
      </c>
      <c r="P1147" s="115" t="s">
        <v>3318</v>
      </c>
      <c r="Q1147" s="8"/>
      <c r="R1147" s="2">
        <v>1</v>
      </c>
      <c r="S1147" s="9">
        <v>0</v>
      </c>
      <c r="T1147" s="10">
        <v>0</v>
      </c>
      <c r="U1147" s="9">
        <v>0</v>
      </c>
      <c r="V1147" s="10">
        <f t="shared" si="249"/>
        <v>0</v>
      </c>
      <c r="W1147" s="4" t="s">
        <v>3319</v>
      </c>
      <c r="X1147" s="2"/>
      <c r="Y1147" s="11">
        <v>4</v>
      </c>
      <c r="Z1147" s="12">
        <f t="shared" si="239"/>
        <v>0</v>
      </c>
      <c r="AA1147" s="4" t="s">
        <v>3320</v>
      </c>
      <c r="AC1147" s="176">
        <f t="shared" si="252"/>
        <v>0</v>
      </c>
    </row>
    <row r="1148" spans="2:29">
      <c r="B1148" s="183">
        <f t="shared" si="240"/>
        <v>32</v>
      </c>
      <c r="C1148" s="107" t="str">
        <f t="shared" si="241"/>
        <v>ATK</v>
      </c>
      <c r="D1148" s="2" t="s">
        <v>3312</v>
      </c>
      <c r="E1148" s="3">
        <v>44050</v>
      </c>
      <c r="F1148" s="3">
        <v>44050</v>
      </c>
      <c r="G1148" s="108">
        <f t="shared" si="242"/>
        <v>8</v>
      </c>
      <c r="H1148" s="108" t="str">
        <f t="shared" si="243"/>
        <v>완료</v>
      </c>
      <c r="I1148" s="112" t="s">
        <v>3313</v>
      </c>
      <c r="J1148" s="4" t="s">
        <v>3314</v>
      </c>
      <c r="K1148" s="5" t="s">
        <v>3315</v>
      </c>
      <c r="L1148" s="6" t="str">
        <f t="shared" si="238"/>
        <v>2T1</v>
      </c>
      <c r="M1148" s="13" t="s">
        <v>3316</v>
      </c>
      <c r="N1148" s="7" t="s">
        <v>3940</v>
      </c>
      <c r="O1148" s="13" t="s">
        <v>3317</v>
      </c>
      <c r="P1148" s="115" t="s">
        <v>3318</v>
      </c>
      <c r="Q1148" s="8"/>
      <c r="R1148" s="2">
        <v>1</v>
      </c>
      <c r="S1148" s="9">
        <v>0</v>
      </c>
      <c r="T1148" s="10">
        <v>0</v>
      </c>
      <c r="U1148" s="9">
        <v>0</v>
      </c>
      <c r="V1148" s="10">
        <f t="shared" ref="V1148:V1150" si="253">T1148-U1148</f>
        <v>0</v>
      </c>
      <c r="W1148" s="4" t="s">
        <v>3319</v>
      </c>
      <c r="X1148" s="2"/>
      <c r="Y1148" s="11">
        <v>4</v>
      </c>
      <c r="Z1148" s="12">
        <f t="shared" si="239"/>
        <v>0</v>
      </c>
      <c r="AA1148" s="4" t="s">
        <v>3321</v>
      </c>
      <c r="AC1148" s="176">
        <f t="shared" si="252"/>
        <v>0</v>
      </c>
    </row>
    <row r="1149" spans="2:29">
      <c r="B1149" s="183">
        <f t="shared" si="240"/>
        <v>32</v>
      </c>
      <c r="C1149" s="107" t="str">
        <f t="shared" si="241"/>
        <v>ATK</v>
      </c>
      <c r="D1149" s="2" t="s">
        <v>3312</v>
      </c>
      <c r="E1149" s="3">
        <v>44050</v>
      </c>
      <c r="F1149" s="3">
        <v>44050</v>
      </c>
      <c r="G1149" s="108">
        <f t="shared" si="242"/>
        <v>8</v>
      </c>
      <c r="H1149" s="108" t="str">
        <f t="shared" si="243"/>
        <v>완료</v>
      </c>
      <c r="I1149" s="112" t="s">
        <v>3313</v>
      </c>
      <c r="J1149" s="4" t="s">
        <v>3314</v>
      </c>
      <c r="K1149" s="5" t="s">
        <v>3315</v>
      </c>
      <c r="L1149" s="6" t="str">
        <f t="shared" si="238"/>
        <v>2T1</v>
      </c>
      <c r="M1149" s="13" t="s">
        <v>3316</v>
      </c>
      <c r="N1149" s="7" t="s">
        <v>3940</v>
      </c>
      <c r="O1149" s="13" t="s">
        <v>3317</v>
      </c>
      <c r="P1149" s="115" t="s">
        <v>3318</v>
      </c>
      <c r="Q1149" s="8"/>
      <c r="R1149" s="2">
        <v>1</v>
      </c>
      <c r="S1149" s="9">
        <v>0</v>
      </c>
      <c r="T1149" s="10">
        <v>0</v>
      </c>
      <c r="U1149" s="9">
        <v>0</v>
      </c>
      <c r="V1149" s="10">
        <f t="shared" si="253"/>
        <v>0</v>
      </c>
      <c r="W1149" s="4" t="s">
        <v>3319</v>
      </c>
      <c r="X1149" s="2"/>
      <c r="Y1149" s="11">
        <v>4</v>
      </c>
      <c r="Z1149" s="12">
        <f t="shared" si="239"/>
        <v>0</v>
      </c>
      <c r="AA1149" s="4" t="s">
        <v>3322</v>
      </c>
      <c r="AC1149" s="176">
        <f t="shared" si="252"/>
        <v>0</v>
      </c>
    </row>
    <row r="1150" spans="2:29">
      <c r="B1150" s="183">
        <f t="shared" si="240"/>
        <v>32</v>
      </c>
      <c r="C1150" s="107" t="str">
        <f t="shared" si="241"/>
        <v>ATK</v>
      </c>
      <c r="D1150" s="2" t="s">
        <v>3323</v>
      </c>
      <c r="E1150" s="3">
        <v>44050</v>
      </c>
      <c r="F1150" s="3">
        <v>44050</v>
      </c>
      <c r="G1150" s="108">
        <f t="shared" si="242"/>
        <v>8</v>
      </c>
      <c r="H1150" s="108" t="str">
        <f t="shared" si="243"/>
        <v>Other</v>
      </c>
      <c r="I1150" s="112" t="s">
        <v>251</v>
      </c>
      <c r="J1150" s="4" t="s">
        <v>251</v>
      </c>
      <c r="K1150" s="5" t="s">
        <v>251</v>
      </c>
      <c r="L1150" s="6" t="str">
        <f t="shared" si="238"/>
        <v>Oth</v>
      </c>
      <c r="M1150" s="13" t="s">
        <v>3317</v>
      </c>
      <c r="N1150" s="7" t="s">
        <v>3941</v>
      </c>
      <c r="O1150" s="13" t="s">
        <v>3317</v>
      </c>
      <c r="P1150" s="115" t="s">
        <v>3325</v>
      </c>
      <c r="Q1150" s="8"/>
      <c r="R1150" s="2">
        <v>1</v>
      </c>
      <c r="S1150" s="9">
        <v>0</v>
      </c>
      <c r="T1150" s="10">
        <v>0</v>
      </c>
      <c r="U1150" s="9">
        <v>0</v>
      </c>
      <c r="V1150" s="10">
        <f t="shared" si="253"/>
        <v>0</v>
      </c>
      <c r="W1150" s="4" t="s">
        <v>3319</v>
      </c>
      <c r="X1150" s="2"/>
      <c r="Y1150" s="11">
        <v>4</v>
      </c>
      <c r="Z1150" s="12">
        <f t="shared" si="239"/>
        <v>0</v>
      </c>
      <c r="AA1150" s="4" t="s">
        <v>3320</v>
      </c>
      <c r="AC1150" s="176">
        <f t="shared" si="252"/>
        <v>0</v>
      </c>
    </row>
    <row r="1151" spans="2:29">
      <c r="B1151" s="183">
        <f t="shared" si="240"/>
        <v>32</v>
      </c>
      <c r="C1151" s="107" t="str">
        <f t="shared" si="241"/>
        <v>ATK</v>
      </c>
      <c r="D1151" s="2" t="s">
        <v>3323</v>
      </c>
      <c r="E1151" s="3">
        <v>44050</v>
      </c>
      <c r="F1151" s="3">
        <v>44050</v>
      </c>
      <c r="G1151" s="108">
        <f t="shared" si="242"/>
        <v>8</v>
      </c>
      <c r="H1151" s="108" t="str">
        <f t="shared" si="243"/>
        <v>Other</v>
      </c>
      <c r="I1151" s="112" t="s">
        <v>251</v>
      </c>
      <c r="J1151" s="4" t="s">
        <v>251</v>
      </c>
      <c r="K1151" s="5" t="s">
        <v>251</v>
      </c>
      <c r="L1151" s="6" t="str">
        <f t="shared" si="238"/>
        <v>Oth</v>
      </c>
      <c r="M1151" s="13" t="s">
        <v>3324</v>
      </c>
      <c r="N1151" s="7" t="s">
        <v>3941</v>
      </c>
      <c r="O1151" s="13" t="s">
        <v>3317</v>
      </c>
      <c r="P1151" s="115" t="s">
        <v>3325</v>
      </c>
      <c r="Q1151" s="8"/>
      <c r="R1151" s="2">
        <v>1</v>
      </c>
      <c r="S1151" s="9">
        <v>0</v>
      </c>
      <c r="T1151" s="10">
        <v>0</v>
      </c>
      <c r="U1151" s="9">
        <v>0</v>
      </c>
      <c r="V1151" s="10">
        <f t="shared" ref="V1151:V1152" si="254">T1151-U1151</f>
        <v>0</v>
      </c>
      <c r="W1151" s="4" t="s">
        <v>3319</v>
      </c>
      <c r="X1151" s="2"/>
      <c r="Y1151" s="11">
        <v>4</v>
      </c>
      <c r="Z1151" s="12">
        <f t="shared" si="239"/>
        <v>0</v>
      </c>
      <c r="AA1151" s="4" t="s">
        <v>3321</v>
      </c>
      <c r="AC1151" s="176">
        <f t="shared" si="252"/>
        <v>0</v>
      </c>
    </row>
    <row r="1152" spans="2:29">
      <c r="B1152" s="183">
        <f t="shared" si="240"/>
        <v>32</v>
      </c>
      <c r="C1152" s="107" t="str">
        <f t="shared" si="241"/>
        <v>ATK</v>
      </c>
      <c r="D1152" s="2" t="s">
        <v>3323</v>
      </c>
      <c r="E1152" s="3">
        <v>44050</v>
      </c>
      <c r="F1152" s="3">
        <v>44050</v>
      </c>
      <c r="G1152" s="108">
        <f t="shared" si="242"/>
        <v>8</v>
      </c>
      <c r="H1152" s="108" t="str">
        <f t="shared" si="243"/>
        <v>Other</v>
      </c>
      <c r="I1152" s="112" t="s">
        <v>251</v>
      </c>
      <c r="J1152" s="4" t="s">
        <v>251</v>
      </c>
      <c r="K1152" s="5" t="s">
        <v>251</v>
      </c>
      <c r="L1152" s="6" t="str">
        <f t="shared" si="238"/>
        <v>Oth</v>
      </c>
      <c r="M1152" s="13" t="s">
        <v>3317</v>
      </c>
      <c r="N1152" s="7" t="s">
        <v>3941</v>
      </c>
      <c r="O1152" s="13" t="s">
        <v>3317</v>
      </c>
      <c r="P1152" s="115" t="s">
        <v>3325</v>
      </c>
      <c r="Q1152" s="8"/>
      <c r="R1152" s="2">
        <v>1</v>
      </c>
      <c r="S1152" s="9">
        <v>0</v>
      </c>
      <c r="T1152" s="10">
        <v>0</v>
      </c>
      <c r="U1152" s="9">
        <v>0</v>
      </c>
      <c r="V1152" s="10">
        <f t="shared" si="254"/>
        <v>0</v>
      </c>
      <c r="W1152" s="4" t="s">
        <v>3319</v>
      </c>
      <c r="X1152" s="2"/>
      <c r="Y1152" s="11">
        <v>4</v>
      </c>
      <c r="Z1152" s="12">
        <f t="shared" si="239"/>
        <v>0</v>
      </c>
      <c r="AA1152" s="4" t="s">
        <v>3322</v>
      </c>
      <c r="AC1152" s="176">
        <f t="shared" si="252"/>
        <v>0</v>
      </c>
    </row>
    <row r="1153" spans="2:29">
      <c r="B1153" s="183">
        <f t="shared" si="240"/>
        <v>32</v>
      </c>
      <c r="C1153" s="107" t="str">
        <f t="shared" si="241"/>
        <v>ATK</v>
      </c>
      <c r="D1153" s="2" t="s">
        <v>3326</v>
      </c>
      <c r="E1153" s="3">
        <v>44048</v>
      </c>
      <c r="F1153" s="3">
        <v>44050</v>
      </c>
      <c r="G1153" s="108">
        <f t="shared" si="242"/>
        <v>8</v>
      </c>
      <c r="H1153" s="108" t="str">
        <f t="shared" si="243"/>
        <v>완료</v>
      </c>
      <c r="I1153" s="112" t="s">
        <v>218</v>
      </c>
      <c r="J1153" s="4" t="s">
        <v>115</v>
      </c>
      <c r="K1153" s="5" t="s">
        <v>138</v>
      </c>
      <c r="L1153" s="6" t="str">
        <f t="shared" ref="L1153:L1216" si="255">LEFT(K1153,3)</f>
        <v>EE1</v>
      </c>
      <c r="M1153" s="13" t="s">
        <v>226</v>
      </c>
      <c r="N1153" s="7" t="s">
        <v>3564</v>
      </c>
      <c r="O1153" s="13" t="s">
        <v>636</v>
      </c>
      <c r="P1153" s="115" t="s">
        <v>750</v>
      </c>
      <c r="Q1153" s="8"/>
      <c r="R1153" s="2">
        <v>1</v>
      </c>
      <c r="S1153" s="9">
        <v>800</v>
      </c>
      <c r="T1153" s="10">
        <f t="shared" si="248"/>
        <v>400</v>
      </c>
      <c r="U1153" s="9">
        <v>5</v>
      </c>
      <c r="V1153" s="10">
        <f t="shared" si="249"/>
        <v>395</v>
      </c>
      <c r="W1153" s="4" t="s">
        <v>122</v>
      </c>
      <c r="X1153" s="2"/>
      <c r="Y1153" s="11">
        <v>4</v>
      </c>
      <c r="Z1153" s="12">
        <f t="shared" ref="Z1153:Z1216" si="256">F1153-E1153</f>
        <v>2</v>
      </c>
      <c r="AA1153" s="4" t="s">
        <v>120</v>
      </c>
      <c r="AC1153" s="176">
        <f t="shared" si="252"/>
        <v>4.5454545454545452E-3</v>
      </c>
    </row>
    <row r="1154" spans="2:29">
      <c r="B1154" s="183">
        <f t="shared" si="240"/>
        <v>33</v>
      </c>
      <c r="C1154" s="107" t="str">
        <f t="shared" si="241"/>
        <v>ATK</v>
      </c>
      <c r="D1154" s="2" t="s">
        <v>3327</v>
      </c>
      <c r="E1154" s="3">
        <v>44053</v>
      </c>
      <c r="F1154" s="3">
        <v>44053</v>
      </c>
      <c r="G1154" s="108">
        <f t="shared" si="242"/>
        <v>8</v>
      </c>
      <c r="H1154" s="108" t="str">
        <f t="shared" si="243"/>
        <v>완료</v>
      </c>
      <c r="I1154" s="112" t="s">
        <v>218</v>
      </c>
      <c r="J1154" s="4" t="s">
        <v>121</v>
      </c>
      <c r="K1154" s="5" t="s">
        <v>136</v>
      </c>
      <c r="L1154" s="6" t="str">
        <f t="shared" si="255"/>
        <v>5T1</v>
      </c>
      <c r="M1154" s="13" t="s">
        <v>5214</v>
      </c>
      <c r="N1154" s="7" t="s">
        <v>3588</v>
      </c>
      <c r="O1154" s="13" t="s">
        <v>2870</v>
      </c>
      <c r="P1154" s="115" t="s">
        <v>1737</v>
      </c>
      <c r="Q1154" s="8"/>
      <c r="R1154" s="2">
        <v>2</v>
      </c>
      <c r="S1154" s="9">
        <v>2500</v>
      </c>
      <c r="T1154" s="10">
        <f t="shared" si="248"/>
        <v>2500</v>
      </c>
      <c r="U1154" s="9">
        <v>2</v>
      </c>
      <c r="V1154" s="10">
        <f t="shared" si="249"/>
        <v>2498</v>
      </c>
      <c r="W1154" s="4" t="s">
        <v>122</v>
      </c>
      <c r="X1154" s="2"/>
      <c r="Y1154" s="11">
        <v>2</v>
      </c>
      <c r="Z1154" s="12">
        <f t="shared" si="256"/>
        <v>0</v>
      </c>
      <c r="AA1154" s="4" t="s">
        <v>117</v>
      </c>
      <c r="AC1154" s="176">
        <f t="shared" si="252"/>
        <v>1.8181818181818182E-3</v>
      </c>
    </row>
    <row r="1155" spans="2:29">
      <c r="B1155" s="183">
        <f t="shared" ref="B1155:B1218" si="257">IF(F1155&gt;0,IFERROR(WEEKNUM(F1155),""),"")</f>
        <v>33</v>
      </c>
      <c r="C1155" s="107" t="str">
        <f t="shared" ref="C1155:C1218" si="258">IF(D1155=0,"",(IF(LEFT(D1155,3)="ATK","ATK",IF(LEFT(D1155,2)="AT",D1155,"ATK"))))</f>
        <v>ATK</v>
      </c>
      <c r="D1155" s="2" t="s">
        <v>1579</v>
      </c>
      <c r="E1155" s="3">
        <v>44053</v>
      </c>
      <c r="F1155" s="3">
        <v>44053</v>
      </c>
      <c r="G1155" s="108">
        <f t="shared" ref="G1155:G1218" si="259">IF(F1155&gt;0,MONTH(F1155),"")</f>
        <v>8</v>
      </c>
      <c r="H1155" s="108" t="str">
        <f t="shared" ref="H1155:H1218" si="260">IF(I1155=0,"",IF(RIGHT(I1155,2)="완료","완료",IF(RIGHT(I1155,2)="불가","수리불가",IF(RIGHT(I1155,1)="중","수리중","Other"))))</f>
        <v>완료</v>
      </c>
      <c r="I1155" s="112" t="s">
        <v>218</v>
      </c>
      <c r="J1155" s="4" t="s">
        <v>121</v>
      </c>
      <c r="K1155" s="5" t="s">
        <v>136</v>
      </c>
      <c r="L1155" s="6" t="str">
        <f t="shared" si="255"/>
        <v>5T1</v>
      </c>
      <c r="M1155" s="13" t="s">
        <v>5214</v>
      </c>
      <c r="N1155" s="7" t="s">
        <v>3669</v>
      </c>
      <c r="O1155" s="13" t="s">
        <v>589</v>
      </c>
      <c r="P1155" s="115" t="s">
        <v>3328</v>
      </c>
      <c r="Q1155" s="8"/>
      <c r="R1155" s="2">
        <v>1</v>
      </c>
      <c r="S1155" s="9">
        <v>900</v>
      </c>
      <c r="T1155" s="10">
        <f t="shared" si="248"/>
        <v>450</v>
      </c>
      <c r="U1155" s="9">
        <v>15</v>
      </c>
      <c r="V1155" s="10">
        <f t="shared" si="249"/>
        <v>435</v>
      </c>
      <c r="W1155" s="4" t="s">
        <v>122</v>
      </c>
      <c r="X1155" s="2"/>
      <c r="Y1155" s="11">
        <v>1</v>
      </c>
      <c r="Z1155" s="12">
        <f t="shared" si="256"/>
        <v>0</v>
      </c>
      <c r="AA1155" s="4" t="s">
        <v>117</v>
      </c>
      <c r="AC1155" s="176">
        <f t="shared" si="252"/>
        <v>1.3636363636363636E-2</v>
      </c>
    </row>
    <row r="1156" spans="2:29">
      <c r="B1156" s="183">
        <f t="shared" si="257"/>
        <v>33</v>
      </c>
      <c r="C1156" s="107" t="str">
        <f t="shared" si="258"/>
        <v>ATK</v>
      </c>
      <c r="D1156" s="2" t="s">
        <v>3329</v>
      </c>
      <c r="E1156" s="3">
        <v>44053</v>
      </c>
      <c r="F1156" s="3">
        <v>44053</v>
      </c>
      <c r="G1156" s="108">
        <f t="shared" si="259"/>
        <v>8</v>
      </c>
      <c r="H1156" s="108" t="str">
        <f t="shared" si="260"/>
        <v>완료</v>
      </c>
      <c r="I1156" s="112" t="s">
        <v>218</v>
      </c>
      <c r="J1156" s="4" t="s">
        <v>121</v>
      </c>
      <c r="K1156" s="5" t="s">
        <v>136</v>
      </c>
      <c r="L1156" s="6" t="str">
        <f t="shared" si="255"/>
        <v>5T1</v>
      </c>
      <c r="M1156" s="13" t="s">
        <v>3330</v>
      </c>
      <c r="N1156" s="7" t="s">
        <v>3942</v>
      </c>
      <c r="O1156" s="7" t="s">
        <v>3332</v>
      </c>
      <c r="P1156" s="115" t="s">
        <v>3331</v>
      </c>
      <c r="Q1156" s="8"/>
      <c r="R1156" s="2">
        <v>1</v>
      </c>
      <c r="S1156" s="9">
        <v>1500</v>
      </c>
      <c r="T1156" s="10">
        <f t="shared" si="248"/>
        <v>750</v>
      </c>
      <c r="U1156" s="9">
        <v>20</v>
      </c>
      <c r="V1156" s="10">
        <f t="shared" si="249"/>
        <v>730</v>
      </c>
      <c r="W1156" s="4" t="s">
        <v>122</v>
      </c>
      <c r="X1156" s="2"/>
      <c r="Y1156" s="11">
        <v>3</v>
      </c>
      <c r="Z1156" s="12">
        <f t="shared" si="256"/>
        <v>0</v>
      </c>
      <c r="AA1156" s="4" t="s">
        <v>212</v>
      </c>
      <c r="AC1156" s="176">
        <f t="shared" si="252"/>
        <v>1.8181818181818181E-2</v>
      </c>
    </row>
    <row r="1157" spans="2:29">
      <c r="B1157" s="183">
        <f t="shared" si="257"/>
        <v>34</v>
      </c>
      <c r="C1157" s="107" t="str">
        <f t="shared" si="258"/>
        <v>ATK</v>
      </c>
      <c r="D1157" s="2" t="s">
        <v>3329</v>
      </c>
      <c r="E1157" s="3">
        <v>44053</v>
      </c>
      <c r="F1157" s="3">
        <v>44062</v>
      </c>
      <c r="G1157" s="108">
        <f t="shared" si="259"/>
        <v>8</v>
      </c>
      <c r="H1157" s="108" t="str">
        <f t="shared" si="260"/>
        <v>완료</v>
      </c>
      <c r="I1157" s="112" t="s">
        <v>218</v>
      </c>
      <c r="J1157" s="4" t="s">
        <v>121</v>
      </c>
      <c r="K1157" s="5" t="s">
        <v>136</v>
      </c>
      <c r="L1157" s="6" t="str">
        <f t="shared" si="255"/>
        <v>5T1</v>
      </c>
      <c r="M1157" s="13" t="s">
        <v>3330</v>
      </c>
      <c r="N1157" s="7" t="s">
        <v>3943</v>
      </c>
      <c r="O1157" s="13" t="s">
        <v>3333</v>
      </c>
      <c r="P1157" s="115" t="s">
        <v>3334</v>
      </c>
      <c r="Q1157" s="8"/>
      <c r="R1157" s="2">
        <v>3</v>
      </c>
      <c r="S1157" s="9">
        <v>300</v>
      </c>
      <c r="T1157" s="10">
        <f t="shared" si="248"/>
        <v>450</v>
      </c>
      <c r="U1157" s="9">
        <v>30</v>
      </c>
      <c r="V1157" s="10">
        <f t="shared" si="249"/>
        <v>420</v>
      </c>
      <c r="W1157" s="4" t="s">
        <v>122</v>
      </c>
      <c r="X1157" s="2"/>
      <c r="Y1157" s="11">
        <v>8</v>
      </c>
      <c r="Z1157" s="12">
        <f t="shared" si="256"/>
        <v>9</v>
      </c>
      <c r="AA1157" s="4" t="s">
        <v>212</v>
      </c>
      <c r="AC1157" s="176">
        <f t="shared" si="252"/>
        <v>2.7272727272727271E-2</v>
      </c>
    </row>
    <row r="1158" spans="2:29">
      <c r="B1158" s="183">
        <f t="shared" si="257"/>
        <v>33</v>
      </c>
      <c r="C1158" s="107" t="str">
        <f t="shared" si="258"/>
        <v>ATK</v>
      </c>
      <c r="D1158" s="2" t="s">
        <v>250</v>
      </c>
      <c r="E1158" s="3">
        <v>44053</v>
      </c>
      <c r="F1158" s="3">
        <v>44053</v>
      </c>
      <c r="G1158" s="108">
        <f t="shared" si="259"/>
        <v>8</v>
      </c>
      <c r="H1158" s="108" t="str">
        <f t="shared" si="260"/>
        <v>Other</v>
      </c>
      <c r="I1158" s="112" t="s">
        <v>251</v>
      </c>
      <c r="J1158" s="4" t="s">
        <v>251</v>
      </c>
      <c r="K1158" s="5" t="s">
        <v>251</v>
      </c>
      <c r="L1158" s="6" t="str">
        <f t="shared" si="255"/>
        <v>Oth</v>
      </c>
      <c r="M1158" s="13" t="s">
        <v>226</v>
      </c>
      <c r="N1158" s="7" t="s">
        <v>3941</v>
      </c>
      <c r="O1158" s="13" t="s">
        <v>226</v>
      </c>
      <c r="P1158" s="115" t="s">
        <v>3335</v>
      </c>
      <c r="Q1158" s="8"/>
      <c r="R1158" s="2">
        <v>1</v>
      </c>
      <c r="S1158" s="9">
        <v>0</v>
      </c>
      <c r="T1158" s="10">
        <v>0</v>
      </c>
      <c r="U1158" s="9">
        <v>0</v>
      </c>
      <c r="V1158" s="10">
        <f t="shared" si="249"/>
        <v>0</v>
      </c>
      <c r="W1158" s="4" t="s">
        <v>249</v>
      </c>
      <c r="X1158" s="2"/>
      <c r="Y1158" s="11">
        <v>4</v>
      </c>
      <c r="Z1158" s="12">
        <f t="shared" si="256"/>
        <v>0</v>
      </c>
      <c r="AA1158" s="4" t="s">
        <v>174</v>
      </c>
      <c r="AC1158" s="176">
        <f t="shared" si="252"/>
        <v>0</v>
      </c>
    </row>
    <row r="1159" spans="2:29">
      <c r="B1159" s="183">
        <f t="shared" si="257"/>
        <v>33</v>
      </c>
      <c r="C1159" s="107" t="str">
        <f t="shared" si="258"/>
        <v>ATK</v>
      </c>
      <c r="D1159" s="2" t="s">
        <v>250</v>
      </c>
      <c r="E1159" s="3">
        <v>44053</v>
      </c>
      <c r="F1159" s="3">
        <v>44053</v>
      </c>
      <c r="G1159" s="108">
        <f t="shared" si="259"/>
        <v>8</v>
      </c>
      <c r="H1159" s="108" t="str">
        <f t="shared" si="260"/>
        <v>Other</v>
      </c>
      <c r="I1159" s="112" t="s">
        <v>251</v>
      </c>
      <c r="J1159" s="4" t="s">
        <v>251</v>
      </c>
      <c r="K1159" s="5" t="s">
        <v>251</v>
      </c>
      <c r="L1159" s="6" t="str">
        <f t="shared" si="255"/>
        <v>Oth</v>
      </c>
      <c r="M1159" s="13" t="s">
        <v>2168</v>
      </c>
      <c r="N1159" s="7" t="s">
        <v>3941</v>
      </c>
      <c r="O1159" s="13" t="s">
        <v>226</v>
      </c>
      <c r="P1159" s="115" t="s">
        <v>3335</v>
      </c>
      <c r="Q1159" s="8"/>
      <c r="R1159" s="2">
        <v>1</v>
      </c>
      <c r="S1159" s="9">
        <v>0</v>
      </c>
      <c r="T1159" s="10">
        <v>0</v>
      </c>
      <c r="U1159" s="9">
        <v>0</v>
      </c>
      <c r="V1159" s="10">
        <f t="shared" si="249"/>
        <v>0</v>
      </c>
      <c r="W1159" s="4" t="s">
        <v>249</v>
      </c>
      <c r="X1159" s="2"/>
      <c r="Y1159" s="11">
        <v>4</v>
      </c>
      <c r="Z1159" s="12">
        <f t="shared" si="256"/>
        <v>0</v>
      </c>
      <c r="AA1159" s="4" t="s">
        <v>27</v>
      </c>
      <c r="AC1159" s="176">
        <f t="shared" si="252"/>
        <v>0</v>
      </c>
    </row>
    <row r="1160" spans="2:29">
      <c r="B1160" s="183">
        <f t="shared" si="257"/>
        <v>33</v>
      </c>
      <c r="C1160" s="107" t="str">
        <f t="shared" si="258"/>
        <v>ATK</v>
      </c>
      <c r="D1160" s="2" t="s">
        <v>250</v>
      </c>
      <c r="E1160" s="3">
        <v>44053</v>
      </c>
      <c r="F1160" s="3">
        <v>44053</v>
      </c>
      <c r="G1160" s="108">
        <f t="shared" si="259"/>
        <v>8</v>
      </c>
      <c r="H1160" s="108" t="str">
        <f t="shared" si="260"/>
        <v>Other</v>
      </c>
      <c r="I1160" s="112" t="s">
        <v>251</v>
      </c>
      <c r="J1160" s="4" t="s">
        <v>251</v>
      </c>
      <c r="K1160" s="5" t="s">
        <v>251</v>
      </c>
      <c r="L1160" s="6" t="str">
        <f t="shared" si="255"/>
        <v>Oth</v>
      </c>
      <c r="M1160" s="13" t="s">
        <v>226</v>
      </c>
      <c r="N1160" s="7" t="s">
        <v>3941</v>
      </c>
      <c r="O1160" s="13" t="s">
        <v>226</v>
      </c>
      <c r="P1160" s="115" t="s">
        <v>3335</v>
      </c>
      <c r="Q1160" s="8"/>
      <c r="R1160" s="2">
        <v>1</v>
      </c>
      <c r="S1160" s="9">
        <v>0</v>
      </c>
      <c r="T1160" s="10">
        <v>0</v>
      </c>
      <c r="U1160" s="9">
        <v>0</v>
      </c>
      <c r="V1160" s="10">
        <f t="shared" si="249"/>
        <v>0</v>
      </c>
      <c r="W1160" s="4" t="s">
        <v>249</v>
      </c>
      <c r="X1160" s="2"/>
      <c r="Y1160" s="11">
        <v>4</v>
      </c>
      <c r="Z1160" s="12">
        <f t="shared" si="256"/>
        <v>0</v>
      </c>
      <c r="AA1160" s="4" t="s">
        <v>30</v>
      </c>
      <c r="AC1160" s="176">
        <f t="shared" si="252"/>
        <v>0</v>
      </c>
    </row>
    <row r="1161" spans="2:29">
      <c r="B1161" s="183">
        <f t="shared" si="257"/>
        <v>33</v>
      </c>
      <c r="C1161" s="107" t="str">
        <f t="shared" si="258"/>
        <v>ATK</v>
      </c>
      <c r="D1161" s="2" t="s">
        <v>312</v>
      </c>
      <c r="E1161" s="3">
        <v>44053</v>
      </c>
      <c r="F1161" s="3">
        <v>44054</v>
      </c>
      <c r="G1161" s="108">
        <f t="shared" si="259"/>
        <v>8</v>
      </c>
      <c r="H1161" s="108" t="str">
        <f t="shared" si="260"/>
        <v>완료</v>
      </c>
      <c r="I1161" s="112" t="s">
        <v>218</v>
      </c>
      <c r="J1161" s="4" t="s">
        <v>118</v>
      </c>
      <c r="K1161" s="5" t="s">
        <v>137</v>
      </c>
      <c r="L1161" s="6" t="str">
        <f t="shared" si="255"/>
        <v>2T2</v>
      </c>
      <c r="M1161" s="13" t="s">
        <v>256</v>
      </c>
      <c r="N1161" s="7" t="s">
        <v>3529</v>
      </c>
      <c r="O1161" s="13" t="s">
        <v>3336</v>
      </c>
      <c r="P1161" s="115"/>
      <c r="Q1161" s="8"/>
      <c r="R1161" s="2">
        <v>2</v>
      </c>
      <c r="S1161" s="9">
        <v>750</v>
      </c>
      <c r="T1161" s="10">
        <f t="shared" si="248"/>
        <v>750</v>
      </c>
      <c r="U1161" s="9">
        <v>25</v>
      </c>
      <c r="V1161" s="10">
        <f t="shared" si="249"/>
        <v>725</v>
      </c>
      <c r="W1161" s="4" t="s">
        <v>122</v>
      </c>
      <c r="X1161" s="2"/>
      <c r="Y1161" s="11">
        <v>3</v>
      </c>
      <c r="Z1161" s="12">
        <f t="shared" si="256"/>
        <v>1</v>
      </c>
      <c r="AA1161" s="4" t="s">
        <v>117</v>
      </c>
      <c r="AC1161" s="176">
        <f t="shared" si="252"/>
        <v>2.2727272727272728E-2</v>
      </c>
    </row>
    <row r="1162" spans="2:29">
      <c r="B1162" s="183">
        <f t="shared" si="257"/>
        <v>33</v>
      </c>
      <c r="C1162" s="107" t="str">
        <f t="shared" si="258"/>
        <v>ATK</v>
      </c>
      <c r="D1162" s="2" t="s">
        <v>2910</v>
      </c>
      <c r="E1162" s="3">
        <v>44053</v>
      </c>
      <c r="F1162" s="3">
        <v>44053</v>
      </c>
      <c r="G1162" s="108">
        <f t="shared" si="259"/>
        <v>8</v>
      </c>
      <c r="H1162" s="108" t="str">
        <f t="shared" si="260"/>
        <v>Other</v>
      </c>
      <c r="I1162" s="112" t="s">
        <v>251</v>
      </c>
      <c r="J1162" s="4" t="s">
        <v>251</v>
      </c>
      <c r="K1162" s="5" t="s">
        <v>251</v>
      </c>
      <c r="L1162" s="6" t="str">
        <f t="shared" si="255"/>
        <v>Oth</v>
      </c>
      <c r="M1162" s="13" t="s">
        <v>3338</v>
      </c>
      <c r="N1162" s="7" t="s">
        <v>3944</v>
      </c>
      <c r="O1162" s="13" t="s">
        <v>3338</v>
      </c>
      <c r="P1162" s="115" t="s">
        <v>3339</v>
      </c>
      <c r="Q1162" s="8"/>
      <c r="R1162" s="2">
        <v>1</v>
      </c>
      <c r="S1162" s="9">
        <v>0</v>
      </c>
      <c r="T1162" s="10">
        <f t="shared" si="248"/>
        <v>0</v>
      </c>
      <c r="U1162" s="9">
        <v>0</v>
      </c>
      <c r="V1162" s="10">
        <f t="shared" si="249"/>
        <v>0</v>
      </c>
      <c r="W1162" s="4" t="s">
        <v>3340</v>
      </c>
      <c r="X1162" s="2"/>
      <c r="Y1162" s="11">
        <v>4</v>
      </c>
      <c r="Z1162" s="12">
        <f t="shared" si="256"/>
        <v>0</v>
      </c>
      <c r="AA1162" s="4" t="s">
        <v>3341</v>
      </c>
      <c r="AC1162" s="176">
        <f t="shared" si="252"/>
        <v>0</v>
      </c>
    </row>
    <row r="1163" spans="2:29">
      <c r="B1163" s="183">
        <f t="shared" si="257"/>
        <v>33</v>
      </c>
      <c r="C1163" s="107" t="str">
        <f t="shared" si="258"/>
        <v>ATK</v>
      </c>
      <c r="D1163" s="2" t="s">
        <v>3342</v>
      </c>
      <c r="E1163" s="3">
        <v>44054</v>
      </c>
      <c r="F1163" s="3">
        <v>44054</v>
      </c>
      <c r="G1163" s="108">
        <f t="shared" si="259"/>
        <v>8</v>
      </c>
      <c r="H1163" s="108" t="str">
        <f t="shared" si="260"/>
        <v>완료</v>
      </c>
      <c r="I1163" s="112" t="s">
        <v>3337</v>
      </c>
      <c r="J1163" s="4" t="s">
        <v>3343</v>
      </c>
      <c r="K1163" s="5" t="s">
        <v>3344</v>
      </c>
      <c r="L1163" s="6" t="str">
        <f t="shared" si="255"/>
        <v>1T1</v>
      </c>
      <c r="M1163" s="13" t="s">
        <v>3338</v>
      </c>
      <c r="N1163" s="7" t="s">
        <v>3945</v>
      </c>
      <c r="O1163" s="13" t="s">
        <v>3338</v>
      </c>
      <c r="P1163" s="115" t="s">
        <v>3345</v>
      </c>
      <c r="Q1163" s="8"/>
      <c r="R1163" s="2">
        <v>1</v>
      </c>
      <c r="S1163" s="9">
        <v>500</v>
      </c>
      <c r="T1163" s="10">
        <f t="shared" si="248"/>
        <v>250</v>
      </c>
      <c r="U1163" s="9">
        <v>5</v>
      </c>
      <c r="V1163" s="10">
        <f t="shared" si="249"/>
        <v>245</v>
      </c>
      <c r="W1163" s="4" t="s">
        <v>3340</v>
      </c>
      <c r="X1163" s="2"/>
      <c r="Y1163" s="11">
        <v>2</v>
      </c>
      <c r="Z1163" s="12">
        <f t="shared" si="256"/>
        <v>0</v>
      </c>
      <c r="AA1163" s="4" t="s">
        <v>3341</v>
      </c>
      <c r="AC1163" s="176">
        <f t="shared" si="252"/>
        <v>4.5454545454545452E-3</v>
      </c>
    </row>
    <row r="1164" spans="2:29">
      <c r="B1164" s="183">
        <f t="shared" si="257"/>
        <v>33</v>
      </c>
      <c r="C1164" s="107" t="str">
        <f t="shared" si="258"/>
        <v>ATK</v>
      </c>
      <c r="D1164" s="2" t="s">
        <v>217</v>
      </c>
      <c r="E1164" s="3">
        <v>44053</v>
      </c>
      <c r="F1164" s="3">
        <v>44053</v>
      </c>
      <c r="G1164" s="108">
        <f t="shared" si="259"/>
        <v>8</v>
      </c>
      <c r="H1164" s="108" t="str">
        <f t="shared" si="260"/>
        <v>완료</v>
      </c>
      <c r="I1164" s="112" t="s">
        <v>264</v>
      </c>
      <c r="J1164" s="4" t="s">
        <v>1106</v>
      </c>
      <c r="K1164" s="5" t="s">
        <v>3116</v>
      </c>
      <c r="L1164" s="6" t="str">
        <f t="shared" si="255"/>
        <v>1T4</v>
      </c>
      <c r="M1164" s="13" t="s">
        <v>2149</v>
      </c>
      <c r="N1164" s="7" t="s">
        <v>3946</v>
      </c>
      <c r="O1164" s="13" t="s">
        <v>3346</v>
      </c>
      <c r="P1164" s="115" t="s">
        <v>2365</v>
      </c>
      <c r="Q1164" s="8"/>
      <c r="R1164" s="2">
        <v>1</v>
      </c>
      <c r="S1164" s="9">
        <v>100</v>
      </c>
      <c r="T1164" s="10">
        <f t="shared" si="248"/>
        <v>50</v>
      </c>
      <c r="U1164" s="9">
        <v>2</v>
      </c>
      <c r="V1164" s="10">
        <f t="shared" si="249"/>
        <v>48</v>
      </c>
      <c r="W1164" s="4" t="s">
        <v>122</v>
      </c>
      <c r="X1164" s="2"/>
      <c r="Y1164" s="11">
        <v>5</v>
      </c>
      <c r="Z1164" s="12">
        <f t="shared" si="256"/>
        <v>0</v>
      </c>
      <c r="AA1164" s="4" t="s">
        <v>212</v>
      </c>
      <c r="AC1164" s="176">
        <f t="shared" si="252"/>
        <v>1.8181818181818182E-3</v>
      </c>
    </row>
    <row r="1165" spans="2:29">
      <c r="B1165" s="183">
        <f t="shared" si="257"/>
        <v>33</v>
      </c>
      <c r="C1165" s="107" t="str">
        <f t="shared" si="258"/>
        <v>ATK</v>
      </c>
      <c r="D1165" s="2" t="s">
        <v>3347</v>
      </c>
      <c r="E1165" s="3">
        <v>44054</v>
      </c>
      <c r="F1165" s="3">
        <v>44054</v>
      </c>
      <c r="G1165" s="108">
        <f t="shared" si="259"/>
        <v>8</v>
      </c>
      <c r="H1165" s="108" t="str">
        <f t="shared" si="260"/>
        <v>Other</v>
      </c>
      <c r="I1165" s="112" t="s">
        <v>251</v>
      </c>
      <c r="J1165" s="4" t="s">
        <v>3348</v>
      </c>
      <c r="K1165" s="5" t="s">
        <v>3348</v>
      </c>
      <c r="L1165" s="6" t="str">
        <f t="shared" si="255"/>
        <v>Oth</v>
      </c>
      <c r="M1165" s="13" t="s">
        <v>3349</v>
      </c>
      <c r="N1165" s="7" t="s">
        <v>140</v>
      </c>
      <c r="O1165" s="13" t="s">
        <v>3350</v>
      </c>
      <c r="P1165" s="115"/>
      <c r="Q1165" s="8"/>
      <c r="R1165" s="2">
        <v>1</v>
      </c>
      <c r="S1165" s="9">
        <v>0</v>
      </c>
      <c r="T1165" s="10">
        <f t="shared" si="248"/>
        <v>0</v>
      </c>
      <c r="U1165" s="9">
        <v>0</v>
      </c>
      <c r="V1165" s="10">
        <f t="shared" si="249"/>
        <v>0</v>
      </c>
      <c r="W1165" s="4" t="s">
        <v>122</v>
      </c>
      <c r="X1165" s="2"/>
      <c r="Y1165" s="11">
        <v>4</v>
      </c>
      <c r="Z1165" s="12">
        <f t="shared" si="256"/>
        <v>0</v>
      </c>
      <c r="AA1165" s="4" t="s">
        <v>3351</v>
      </c>
      <c r="AC1165" s="176">
        <f t="shared" si="252"/>
        <v>0</v>
      </c>
    </row>
    <row r="1166" spans="2:29">
      <c r="B1166" s="183">
        <f t="shared" si="257"/>
        <v>33</v>
      </c>
      <c r="C1166" s="107" t="str">
        <f t="shared" si="258"/>
        <v>ATK</v>
      </c>
      <c r="D1166" s="2" t="s">
        <v>773</v>
      </c>
      <c r="E1166" s="3">
        <v>44048</v>
      </c>
      <c r="F1166" s="3">
        <v>44054</v>
      </c>
      <c r="G1166" s="108">
        <f t="shared" si="259"/>
        <v>8</v>
      </c>
      <c r="H1166" s="108" t="str">
        <f t="shared" si="260"/>
        <v>완료</v>
      </c>
      <c r="I1166" s="112" t="s">
        <v>218</v>
      </c>
      <c r="J1166" s="4" t="s">
        <v>132</v>
      </c>
      <c r="K1166" s="5" t="s">
        <v>322</v>
      </c>
      <c r="L1166" s="6" t="str">
        <f t="shared" si="255"/>
        <v>3T1</v>
      </c>
      <c r="M1166" s="13" t="s">
        <v>2725</v>
      </c>
      <c r="N1166" s="7" t="s">
        <v>3881</v>
      </c>
      <c r="O1166" s="13" t="s">
        <v>1002</v>
      </c>
      <c r="P1166" s="115" t="s">
        <v>2726</v>
      </c>
      <c r="Q1166" s="8" t="s">
        <v>500</v>
      </c>
      <c r="R1166" s="2">
        <v>3</v>
      </c>
      <c r="S1166" s="9">
        <v>700</v>
      </c>
      <c r="T1166" s="10">
        <f t="shared" si="248"/>
        <v>1050</v>
      </c>
      <c r="U1166" s="9">
        <v>3</v>
      </c>
      <c r="V1166" s="10">
        <f t="shared" si="249"/>
        <v>1047</v>
      </c>
      <c r="W1166" s="4" t="s">
        <v>122</v>
      </c>
      <c r="X1166" s="2"/>
      <c r="Y1166" s="11">
        <v>2</v>
      </c>
      <c r="Z1166" s="12">
        <f t="shared" si="256"/>
        <v>6</v>
      </c>
      <c r="AA1166" s="4" t="s">
        <v>117</v>
      </c>
      <c r="AC1166" s="176">
        <f t="shared" si="252"/>
        <v>2.7272727272727275E-3</v>
      </c>
    </row>
    <row r="1167" spans="2:29">
      <c r="B1167" s="183">
        <f t="shared" si="257"/>
        <v>33</v>
      </c>
      <c r="C1167" s="107" t="str">
        <f t="shared" si="258"/>
        <v>ATK</v>
      </c>
      <c r="D1167" s="2" t="s">
        <v>250</v>
      </c>
      <c r="E1167" s="3">
        <v>44054</v>
      </c>
      <c r="F1167" s="3">
        <v>44055</v>
      </c>
      <c r="G1167" s="108">
        <f t="shared" si="259"/>
        <v>8</v>
      </c>
      <c r="H1167" s="108" t="str">
        <f t="shared" si="260"/>
        <v>완료</v>
      </c>
      <c r="I1167" s="112" t="s">
        <v>218</v>
      </c>
      <c r="J1167" s="4" t="s">
        <v>251</v>
      </c>
      <c r="K1167" s="5" t="s">
        <v>251</v>
      </c>
      <c r="L1167" s="6" t="str">
        <f t="shared" si="255"/>
        <v>Oth</v>
      </c>
      <c r="M1167" s="13" t="s">
        <v>3354</v>
      </c>
      <c r="N1167" s="7"/>
      <c r="O1167" s="13" t="s">
        <v>3352</v>
      </c>
      <c r="P1167" s="115" t="s">
        <v>3353</v>
      </c>
      <c r="Q1167" s="8"/>
      <c r="R1167" s="2">
        <v>1</v>
      </c>
      <c r="S1167" s="9">
        <v>45000</v>
      </c>
      <c r="T1167" s="10">
        <f t="shared" ref="T1167:T1180" si="261">(S1167*50)/100*R1167</f>
        <v>22500</v>
      </c>
      <c r="U1167" s="9">
        <v>20</v>
      </c>
      <c r="V1167" s="10">
        <f t="shared" ref="V1167:V1180" si="262">T1167-U1167</f>
        <v>22480</v>
      </c>
      <c r="W1167" s="4" t="s">
        <v>122</v>
      </c>
      <c r="X1167" s="2"/>
      <c r="Y1167" s="11">
        <v>3</v>
      </c>
      <c r="Z1167" s="12">
        <f t="shared" si="256"/>
        <v>1</v>
      </c>
      <c r="AA1167" s="4" t="s">
        <v>117</v>
      </c>
      <c r="AC1167" s="176">
        <f t="shared" si="252"/>
        <v>1.8181818181818181E-2</v>
      </c>
    </row>
    <row r="1168" spans="2:29">
      <c r="B1168" s="183">
        <f t="shared" si="257"/>
        <v>33</v>
      </c>
      <c r="C1168" s="107" t="str">
        <f t="shared" si="258"/>
        <v>ATK</v>
      </c>
      <c r="D1168" s="2" t="s">
        <v>3364</v>
      </c>
      <c r="E1168" s="3">
        <v>44054</v>
      </c>
      <c r="F1168" s="3">
        <v>44054</v>
      </c>
      <c r="G1168" s="108">
        <f t="shared" si="259"/>
        <v>8</v>
      </c>
      <c r="H1168" s="108" t="str">
        <f t="shared" si="260"/>
        <v>완료</v>
      </c>
      <c r="I1168" s="112" t="s">
        <v>218</v>
      </c>
      <c r="J1168" s="4" t="s">
        <v>173</v>
      </c>
      <c r="K1168" s="5" t="s">
        <v>128</v>
      </c>
      <c r="L1168" s="6" t="str">
        <f t="shared" si="255"/>
        <v>1T1</v>
      </c>
      <c r="M1168" s="13"/>
      <c r="N1168" s="7" t="s">
        <v>3947</v>
      </c>
      <c r="O1168" s="13" t="s">
        <v>3365</v>
      </c>
      <c r="P1168" s="115" t="s">
        <v>3366</v>
      </c>
      <c r="Q1168" s="8"/>
      <c r="R1168" s="2">
        <v>1</v>
      </c>
      <c r="S1168" s="9">
        <v>1500</v>
      </c>
      <c r="T1168" s="10">
        <f t="shared" si="261"/>
        <v>750</v>
      </c>
      <c r="U1168" s="9">
        <v>10</v>
      </c>
      <c r="V1168" s="10">
        <f t="shared" si="262"/>
        <v>740</v>
      </c>
      <c r="W1168" s="4" t="s">
        <v>122</v>
      </c>
      <c r="X1168" s="2"/>
      <c r="Y1168" s="11">
        <v>3</v>
      </c>
      <c r="Z1168" s="12">
        <f t="shared" si="256"/>
        <v>0</v>
      </c>
      <c r="AA1168" s="4" t="s">
        <v>259</v>
      </c>
      <c r="AC1168" s="176">
        <f t="shared" si="252"/>
        <v>9.0909090909090905E-3</v>
      </c>
    </row>
    <row r="1169" spans="2:29">
      <c r="B1169" s="183">
        <f t="shared" si="257"/>
        <v>39</v>
      </c>
      <c r="C1169" s="107" t="str">
        <f t="shared" si="258"/>
        <v>ATK</v>
      </c>
      <c r="D1169" s="2" t="s">
        <v>3355</v>
      </c>
      <c r="E1169" s="3">
        <v>44054</v>
      </c>
      <c r="F1169" s="3">
        <v>44097</v>
      </c>
      <c r="G1169" s="108">
        <f t="shared" si="259"/>
        <v>9</v>
      </c>
      <c r="H1169" s="108" t="str">
        <f t="shared" si="260"/>
        <v>완료</v>
      </c>
      <c r="I1169" s="112" t="s">
        <v>218</v>
      </c>
      <c r="J1169" s="4" t="s">
        <v>132</v>
      </c>
      <c r="K1169" s="5" t="s">
        <v>322</v>
      </c>
      <c r="L1169" s="6" t="str">
        <f t="shared" si="255"/>
        <v>3T1</v>
      </c>
      <c r="M1169" s="13" t="s">
        <v>3356</v>
      </c>
      <c r="N1169" s="7" t="s">
        <v>3948</v>
      </c>
      <c r="O1169" s="13" t="s">
        <v>3357</v>
      </c>
      <c r="P1169" s="115" t="s">
        <v>3358</v>
      </c>
      <c r="Q1169" s="8"/>
      <c r="R1169" s="2">
        <v>1</v>
      </c>
      <c r="S1169" s="9">
        <v>500</v>
      </c>
      <c r="T1169" s="10">
        <f t="shared" si="261"/>
        <v>250</v>
      </c>
      <c r="U1169" s="9">
        <v>1</v>
      </c>
      <c r="V1169" s="10">
        <f t="shared" si="262"/>
        <v>249</v>
      </c>
      <c r="W1169" s="4" t="s">
        <v>122</v>
      </c>
      <c r="X1169" s="2"/>
      <c r="Y1169" s="11">
        <v>1</v>
      </c>
      <c r="Z1169" s="12">
        <f t="shared" si="256"/>
        <v>43</v>
      </c>
      <c r="AA1169" s="4" t="s">
        <v>117</v>
      </c>
      <c r="AC1169" s="176">
        <f t="shared" si="252"/>
        <v>9.0909090909090909E-4</v>
      </c>
    </row>
    <row r="1170" spans="2:29">
      <c r="B1170" s="183">
        <f t="shared" si="257"/>
        <v>33</v>
      </c>
      <c r="C1170" s="107" t="str">
        <f t="shared" si="258"/>
        <v>ATK</v>
      </c>
      <c r="D1170" s="2" t="s">
        <v>3359</v>
      </c>
      <c r="E1170" s="3">
        <v>44054</v>
      </c>
      <c r="F1170" s="3">
        <v>44055</v>
      </c>
      <c r="G1170" s="108">
        <f t="shared" si="259"/>
        <v>8</v>
      </c>
      <c r="H1170" s="108" t="str">
        <f t="shared" si="260"/>
        <v>완료</v>
      </c>
      <c r="I1170" s="112" t="s">
        <v>218</v>
      </c>
      <c r="J1170" s="4" t="s">
        <v>118</v>
      </c>
      <c r="K1170" s="5" t="s">
        <v>119</v>
      </c>
      <c r="L1170" s="6" t="str">
        <f t="shared" si="255"/>
        <v>2T3</v>
      </c>
      <c r="M1170" s="13" t="s">
        <v>3223</v>
      </c>
      <c r="N1170" s="7" t="s">
        <v>3949</v>
      </c>
      <c r="O1170" s="13" t="s">
        <v>3360</v>
      </c>
      <c r="P1170" s="115" t="s">
        <v>3361</v>
      </c>
      <c r="Q1170" s="8"/>
      <c r="R1170" s="2">
        <v>3</v>
      </c>
      <c r="S1170" s="9">
        <v>200</v>
      </c>
      <c r="T1170" s="10">
        <f t="shared" si="261"/>
        <v>300</v>
      </c>
      <c r="U1170" s="9">
        <v>1</v>
      </c>
      <c r="V1170" s="10">
        <f t="shared" si="262"/>
        <v>299</v>
      </c>
      <c r="W1170" s="4" t="s">
        <v>122</v>
      </c>
      <c r="X1170" s="2"/>
      <c r="Y1170" s="11">
        <v>3</v>
      </c>
      <c r="Z1170" s="12">
        <f t="shared" si="256"/>
        <v>1</v>
      </c>
      <c r="AA1170" s="4" t="s">
        <v>259</v>
      </c>
      <c r="AC1170" s="176">
        <f t="shared" si="252"/>
        <v>9.0909090909090909E-4</v>
      </c>
    </row>
    <row r="1171" spans="2:29">
      <c r="B1171" s="183">
        <f t="shared" si="257"/>
        <v>33</v>
      </c>
      <c r="C1171" s="107" t="str">
        <f t="shared" si="258"/>
        <v>ATK</v>
      </c>
      <c r="D1171" s="2" t="s">
        <v>3359</v>
      </c>
      <c r="E1171" s="3">
        <v>44054</v>
      </c>
      <c r="F1171" s="3">
        <v>44055</v>
      </c>
      <c r="G1171" s="108">
        <f t="shared" si="259"/>
        <v>8</v>
      </c>
      <c r="H1171" s="108" t="str">
        <f t="shared" si="260"/>
        <v>완료</v>
      </c>
      <c r="I1171" s="112" t="s">
        <v>218</v>
      </c>
      <c r="J1171" s="4" t="s">
        <v>118</v>
      </c>
      <c r="K1171" s="5" t="s">
        <v>119</v>
      </c>
      <c r="L1171" s="6" t="str">
        <f t="shared" si="255"/>
        <v>2T3</v>
      </c>
      <c r="M1171" s="13" t="s">
        <v>3223</v>
      </c>
      <c r="N1171" s="7" t="s">
        <v>3949</v>
      </c>
      <c r="O1171" s="13" t="s">
        <v>3360</v>
      </c>
      <c r="P1171" s="115" t="s">
        <v>3361</v>
      </c>
      <c r="Q1171" s="8"/>
      <c r="R1171" s="2">
        <v>3</v>
      </c>
      <c r="S1171" s="9">
        <v>200</v>
      </c>
      <c r="T1171" s="10">
        <f t="shared" si="261"/>
        <v>300</v>
      </c>
      <c r="U1171" s="9">
        <v>1</v>
      </c>
      <c r="V1171" s="10">
        <f t="shared" si="262"/>
        <v>299</v>
      </c>
      <c r="W1171" s="4" t="s">
        <v>122</v>
      </c>
      <c r="X1171" s="2"/>
      <c r="Y1171" s="11">
        <v>3</v>
      </c>
      <c r="Z1171" s="12">
        <f t="shared" si="256"/>
        <v>1</v>
      </c>
      <c r="AA1171" s="4" t="s">
        <v>212</v>
      </c>
      <c r="AC1171" s="176">
        <f t="shared" si="252"/>
        <v>9.0909090909090909E-4</v>
      </c>
    </row>
    <row r="1172" spans="2:29">
      <c r="B1172" s="183">
        <f t="shared" si="257"/>
        <v>33</v>
      </c>
      <c r="C1172" s="107" t="str">
        <f t="shared" si="258"/>
        <v>ATK</v>
      </c>
      <c r="D1172" s="2" t="s">
        <v>3363</v>
      </c>
      <c r="E1172" s="3">
        <v>44055</v>
      </c>
      <c r="F1172" s="3">
        <v>44055</v>
      </c>
      <c r="G1172" s="108">
        <f t="shared" si="259"/>
        <v>8</v>
      </c>
      <c r="H1172" s="108" t="str">
        <f t="shared" si="260"/>
        <v>완료</v>
      </c>
      <c r="I1172" s="112" t="s">
        <v>218</v>
      </c>
      <c r="J1172" s="4" t="s">
        <v>115</v>
      </c>
      <c r="K1172" s="5" t="s">
        <v>116</v>
      </c>
      <c r="L1172" s="6" t="str">
        <f t="shared" si="255"/>
        <v>EE2</v>
      </c>
      <c r="M1172" s="13" t="s">
        <v>256</v>
      </c>
      <c r="N1172" s="7" t="s">
        <v>3950</v>
      </c>
      <c r="O1172" s="13" t="s">
        <v>3362</v>
      </c>
      <c r="P1172" s="115" t="s">
        <v>3367</v>
      </c>
      <c r="Q1172" s="8"/>
      <c r="R1172" s="2">
        <v>1</v>
      </c>
      <c r="S1172" s="9">
        <v>3000</v>
      </c>
      <c r="T1172" s="10">
        <f t="shared" si="261"/>
        <v>1500</v>
      </c>
      <c r="U1172" s="9">
        <v>100</v>
      </c>
      <c r="V1172" s="10">
        <f t="shared" si="262"/>
        <v>1400</v>
      </c>
      <c r="W1172" s="4" t="s">
        <v>122</v>
      </c>
      <c r="X1172" s="2"/>
      <c r="Y1172" s="11">
        <v>2</v>
      </c>
      <c r="Z1172" s="12">
        <f t="shared" si="256"/>
        <v>0</v>
      </c>
      <c r="AA1172" s="4" t="s">
        <v>212</v>
      </c>
      <c r="AC1172" s="176">
        <f t="shared" si="252"/>
        <v>9.0909090909090912E-2</v>
      </c>
    </row>
    <row r="1173" spans="2:29">
      <c r="B1173" s="183">
        <f t="shared" si="257"/>
        <v>33</v>
      </c>
      <c r="C1173" s="107" t="str">
        <f t="shared" si="258"/>
        <v>ATK</v>
      </c>
      <c r="D1173" s="2" t="s">
        <v>3371</v>
      </c>
      <c r="E1173" s="3">
        <v>44050</v>
      </c>
      <c r="F1173" s="3">
        <v>44055</v>
      </c>
      <c r="G1173" s="108">
        <f t="shared" si="259"/>
        <v>8</v>
      </c>
      <c r="H1173" s="108" t="str">
        <f t="shared" si="260"/>
        <v>완료</v>
      </c>
      <c r="I1173" s="112" t="s">
        <v>218</v>
      </c>
      <c r="J1173" s="4" t="s">
        <v>173</v>
      </c>
      <c r="K1173" s="5" t="s">
        <v>138</v>
      </c>
      <c r="L1173" s="6" t="str">
        <f t="shared" si="255"/>
        <v>EE1</v>
      </c>
      <c r="M1173" s="13" t="s">
        <v>3014</v>
      </c>
      <c r="N1173" s="7" t="s">
        <v>3951</v>
      </c>
      <c r="O1173" s="13" t="s">
        <v>3368</v>
      </c>
      <c r="P1173" s="115" t="s">
        <v>3369</v>
      </c>
      <c r="Q1173" s="8" t="s">
        <v>3370</v>
      </c>
      <c r="R1173" s="2">
        <v>1</v>
      </c>
      <c r="S1173" s="9">
        <v>4000</v>
      </c>
      <c r="T1173" s="10">
        <f t="shared" si="261"/>
        <v>2000</v>
      </c>
      <c r="U1173" s="9">
        <v>3</v>
      </c>
      <c r="V1173" s="10">
        <f t="shared" si="262"/>
        <v>1997</v>
      </c>
      <c r="W1173" s="4" t="s">
        <v>122</v>
      </c>
      <c r="X1173" s="2"/>
      <c r="Y1173" s="11">
        <v>4</v>
      </c>
      <c r="Z1173" s="12">
        <f t="shared" si="256"/>
        <v>5</v>
      </c>
      <c r="AA1173" s="4" t="s">
        <v>120</v>
      </c>
      <c r="AC1173" s="176">
        <f t="shared" si="252"/>
        <v>2.7272727272727275E-3</v>
      </c>
    </row>
    <row r="1174" spans="2:29">
      <c r="B1174" s="183">
        <f t="shared" si="257"/>
        <v>33</v>
      </c>
      <c r="C1174" s="107" t="str">
        <f t="shared" si="258"/>
        <v>ATK</v>
      </c>
      <c r="D1174" s="2" t="s">
        <v>1023</v>
      </c>
      <c r="E1174" s="3">
        <v>44055</v>
      </c>
      <c r="F1174" s="3">
        <v>44055</v>
      </c>
      <c r="G1174" s="108">
        <f t="shared" si="259"/>
        <v>8</v>
      </c>
      <c r="H1174" s="108" t="str">
        <f t="shared" si="260"/>
        <v>완료</v>
      </c>
      <c r="I1174" s="112" t="s">
        <v>218</v>
      </c>
      <c r="J1174" s="4" t="s">
        <v>127</v>
      </c>
      <c r="K1174" s="5" t="s">
        <v>135</v>
      </c>
      <c r="L1174" s="6" t="str">
        <f t="shared" si="255"/>
        <v>1T3</v>
      </c>
      <c r="M1174" s="13" t="s">
        <v>3372</v>
      </c>
      <c r="N1174" s="7"/>
      <c r="O1174" s="13" t="s">
        <v>3373</v>
      </c>
      <c r="P1174" s="115" t="s">
        <v>838</v>
      </c>
      <c r="Q1174" s="8"/>
      <c r="R1174" s="2">
        <v>2</v>
      </c>
      <c r="S1174" s="9">
        <v>2500</v>
      </c>
      <c r="T1174" s="10">
        <f t="shared" si="261"/>
        <v>2500</v>
      </c>
      <c r="U1174" s="9">
        <v>5</v>
      </c>
      <c r="V1174" s="10">
        <f t="shared" si="262"/>
        <v>2495</v>
      </c>
      <c r="W1174" s="4" t="s">
        <v>122</v>
      </c>
      <c r="X1174" s="2"/>
      <c r="Y1174" s="11">
        <v>4</v>
      </c>
      <c r="Z1174" s="12">
        <f t="shared" si="256"/>
        <v>0</v>
      </c>
      <c r="AA1174" s="4" t="s">
        <v>259</v>
      </c>
      <c r="AC1174" s="176">
        <f t="shared" si="252"/>
        <v>4.5454545454545452E-3</v>
      </c>
    </row>
    <row r="1175" spans="2:29">
      <c r="B1175" s="183">
        <f t="shared" si="257"/>
        <v>33</v>
      </c>
      <c r="C1175" s="107" t="str">
        <f t="shared" si="258"/>
        <v>ATK</v>
      </c>
      <c r="D1175" s="2" t="s">
        <v>3374</v>
      </c>
      <c r="E1175" s="3">
        <v>44053</v>
      </c>
      <c r="F1175" s="3">
        <v>44055</v>
      </c>
      <c r="G1175" s="108">
        <f t="shared" si="259"/>
        <v>8</v>
      </c>
      <c r="H1175" s="108" t="str">
        <f t="shared" si="260"/>
        <v>완료</v>
      </c>
      <c r="I1175" s="112" t="s">
        <v>218</v>
      </c>
      <c r="J1175" s="4" t="s">
        <v>3376</v>
      </c>
      <c r="K1175" s="5" t="s">
        <v>3377</v>
      </c>
      <c r="L1175" s="6" t="str">
        <f t="shared" si="255"/>
        <v>EE2</v>
      </c>
      <c r="M1175" s="13" t="s">
        <v>256</v>
      </c>
      <c r="N1175" s="7" t="s">
        <v>3529</v>
      </c>
      <c r="O1175" s="13" t="s">
        <v>482</v>
      </c>
      <c r="P1175" s="115" t="s">
        <v>3380</v>
      </c>
      <c r="Q1175" s="8"/>
      <c r="R1175" s="2">
        <v>1</v>
      </c>
      <c r="S1175" s="9">
        <v>1600</v>
      </c>
      <c r="T1175" s="10">
        <f t="shared" si="261"/>
        <v>800</v>
      </c>
      <c r="U1175" s="9">
        <v>20</v>
      </c>
      <c r="V1175" s="10">
        <f t="shared" si="262"/>
        <v>780</v>
      </c>
      <c r="W1175" s="4" t="s">
        <v>122</v>
      </c>
      <c r="X1175" s="2"/>
      <c r="Y1175" s="11">
        <v>2</v>
      </c>
      <c r="Z1175" s="12">
        <f t="shared" si="256"/>
        <v>2</v>
      </c>
      <c r="AA1175" s="4" t="s">
        <v>3379</v>
      </c>
      <c r="AC1175" s="176">
        <f t="shared" si="252"/>
        <v>1.8181818181818181E-2</v>
      </c>
    </row>
    <row r="1176" spans="2:29">
      <c r="B1176" s="183">
        <f t="shared" si="257"/>
        <v>33</v>
      </c>
      <c r="C1176" s="107" t="str">
        <f t="shared" si="258"/>
        <v>ATK</v>
      </c>
      <c r="D1176" s="2" t="s">
        <v>3374</v>
      </c>
      <c r="E1176" s="3">
        <v>44053</v>
      </c>
      <c r="F1176" s="3">
        <v>44055</v>
      </c>
      <c r="G1176" s="108">
        <f t="shared" si="259"/>
        <v>8</v>
      </c>
      <c r="H1176" s="108" t="str">
        <f t="shared" si="260"/>
        <v>완료</v>
      </c>
      <c r="I1176" s="112" t="s">
        <v>218</v>
      </c>
      <c r="J1176" s="4" t="s">
        <v>3376</v>
      </c>
      <c r="K1176" s="5" t="s">
        <v>3377</v>
      </c>
      <c r="L1176" s="6" t="str">
        <f t="shared" si="255"/>
        <v>EE2</v>
      </c>
      <c r="M1176" s="13" t="s">
        <v>256</v>
      </c>
      <c r="N1176" s="7" t="s">
        <v>3594</v>
      </c>
      <c r="O1176" s="13" t="s">
        <v>482</v>
      </c>
      <c r="P1176" s="115" t="s">
        <v>3381</v>
      </c>
      <c r="Q1176" s="8"/>
      <c r="R1176" s="2">
        <v>1</v>
      </c>
      <c r="S1176" s="9">
        <v>1600</v>
      </c>
      <c r="T1176" s="10">
        <f t="shared" si="261"/>
        <v>800</v>
      </c>
      <c r="U1176" s="9">
        <v>20</v>
      </c>
      <c r="V1176" s="10">
        <f t="shared" si="262"/>
        <v>780</v>
      </c>
      <c r="W1176" s="4" t="s">
        <v>122</v>
      </c>
      <c r="X1176" s="2"/>
      <c r="Y1176" s="11">
        <v>2</v>
      </c>
      <c r="Z1176" s="12">
        <f t="shared" si="256"/>
        <v>2</v>
      </c>
      <c r="AA1176" s="4" t="s">
        <v>3379</v>
      </c>
      <c r="AC1176" s="176">
        <f t="shared" si="252"/>
        <v>1.8181818181818181E-2</v>
      </c>
    </row>
    <row r="1177" spans="2:29">
      <c r="B1177" s="183">
        <f t="shared" si="257"/>
        <v>33</v>
      </c>
      <c r="C1177" s="107" t="str">
        <f t="shared" si="258"/>
        <v>ATK</v>
      </c>
      <c r="D1177" s="2" t="s">
        <v>3375</v>
      </c>
      <c r="E1177" s="3">
        <v>44055</v>
      </c>
      <c r="F1177" s="3">
        <v>44055</v>
      </c>
      <c r="G1177" s="108">
        <f t="shared" si="259"/>
        <v>8</v>
      </c>
      <c r="H1177" s="108" t="str">
        <f t="shared" si="260"/>
        <v>완료</v>
      </c>
      <c r="I1177" s="112" t="s">
        <v>218</v>
      </c>
      <c r="J1177" s="4" t="s">
        <v>132</v>
      </c>
      <c r="K1177" s="5" t="s">
        <v>143</v>
      </c>
      <c r="L1177" s="6" t="str">
        <f t="shared" si="255"/>
        <v>3T4</v>
      </c>
      <c r="M1177" s="13" t="s">
        <v>158</v>
      </c>
      <c r="N1177" s="7" t="s">
        <v>3500</v>
      </c>
      <c r="O1177" s="13" t="s">
        <v>3378</v>
      </c>
      <c r="P1177" s="115"/>
      <c r="Q1177" s="8"/>
      <c r="R1177" s="2">
        <v>1</v>
      </c>
      <c r="S1177" s="9">
        <v>1200</v>
      </c>
      <c r="T1177" s="10">
        <f t="shared" si="261"/>
        <v>600</v>
      </c>
      <c r="U1177" s="9">
        <v>50</v>
      </c>
      <c r="V1177" s="10">
        <f t="shared" si="262"/>
        <v>550</v>
      </c>
      <c r="W1177" s="4" t="s">
        <v>122</v>
      </c>
      <c r="X1177" s="2"/>
      <c r="Y1177" s="11">
        <v>2</v>
      </c>
      <c r="Z1177" s="12">
        <f t="shared" si="256"/>
        <v>0</v>
      </c>
      <c r="AA1177" s="4" t="s">
        <v>3379</v>
      </c>
      <c r="AC1177" s="176">
        <f t="shared" si="252"/>
        <v>4.5454545454545456E-2</v>
      </c>
    </row>
    <row r="1178" spans="2:29">
      <c r="B1178" s="183">
        <f t="shared" si="257"/>
        <v>33</v>
      </c>
      <c r="C1178" s="107" t="str">
        <f t="shared" si="258"/>
        <v>ATK</v>
      </c>
      <c r="D1178" s="2" t="s">
        <v>3382</v>
      </c>
      <c r="E1178" s="3">
        <v>44055</v>
      </c>
      <c r="F1178" s="3">
        <v>44055</v>
      </c>
      <c r="G1178" s="108">
        <f t="shared" si="259"/>
        <v>8</v>
      </c>
      <c r="H1178" s="108" t="str">
        <f t="shared" si="260"/>
        <v>Other</v>
      </c>
      <c r="I1178" s="112" t="s">
        <v>251</v>
      </c>
      <c r="J1178" s="4" t="s">
        <v>3383</v>
      </c>
      <c r="K1178" s="4" t="s">
        <v>3383</v>
      </c>
      <c r="L1178" s="6" t="str">
        <f t="shared" si="255"/>
        <v>Oth</v>
      </c>
      <c r="M1178" s="13" t="s">
        <v>3384</v>
      </c>
      <c r="N1178" s="7" t="s">
        <v>3952</v>
      </c>
      <c r="O1178" s="13" t="s">
        <v>3385</v>
      </c>
      <c r="P1178" s="115"/>
      <c r="Q1178" s="8"/>
      <c r="R1178" s="2">
        <v>1</v>
      </c>
      <c r="S1178" s="9">
        <v>0</v>
      </c>
      <c r="T1178" s="10">
        <f t="shared" si="261"/>
        <v>0</v>
      </c>
      <c r="U1178" s="9">
        <v>0</v>
      </c>
      <c r="V1178" s="10">
        <f t="shared" si="262"/>
        <v>0</v>
      </c>
      <c r="W1178" s="4" t="s">
        <v>122</v>
      </c>
      <c r="X1178" s="2"/>
      <c r="Y1178" s="11">
        <v>4</v>
      </c>
      <c r="Z1178" s="12">
        <f t="shared" si="256"/>
        <v>0</v>
      </c>
      <c r="AA1178" s="4" t="s">
        <v>3386</v>
      </c>
      <c r="AC1178" s="176">
        <f t="shared" si="252"/>
        <v>0</v>
      </c>
    </row>
    <row r="1179" spans="2:29">
      <c r="B1179" s="183">
        <f t="shared" si="257"/>
        <v>33</v>
      </c>
      <c r="C1179" s="107" t="str">
        <f t="shared" si="258"/>
        <v>ATK</v>
      </c>
      <c r="D1179" s="2" t="s">
        <v>3382</v>
      </c>
      <c r="E1179" s="3">
        <v>44055</v>
      </c>
      <c r="F1179" s="3">
        <v>44055</v>
      </c>
      <c r="G1179" s="108">
        <f t="shared" si="259"/>
        <v>8</v>
      </c>
      <c r="H1179" s="108" t="str">
        <f t="shared" si="260"/>
        <v>Other</v>
      </c>
      <c r="I1179" s="112" t="s">
        <v>251</v>
      </c>
      <c r="J1179" s="4" t="s">
        <v>3383</v>
      </c>
      <c r="K1179" s="4" t="s">
        <v>3383</v>
      </c>
      <c r="L1179" s="6" t="str">
        <f t="shared" si="255"/>
        <v>Oth</v>
      </c>
      <c r="M1179" s="13" t="s">
        <v>3384</v>
      </c>
      <c r="N1179" s="7" t="s">
        <v>3952</v>
      </c>
      <c r="O1179" s="13" t="s">
        <v>3385</v>
      </c>
      <c r="P1179" s="115"/>
      <c r="Q1179" s="8"/>
      <c r="R1179" s="2">
        <v>1</v>
      </c>
      <c r="S1179" s="9">
        <v>0</v>
      </c>
      <c r="T1179" s="10">
        <f t="shared" si="261"/>
        <v>0</v>
      </c>
      <c r="U1179" s="9">
        <v>0</v>
      </c>
      <c r="V1179" s="10">
        <f t="shared" si="262"/>
        <v>0</v>
      </c>
      <c r="W1179" s="4" t="s">
        <v>122</v>
      </c>
      <c r="X1179" s="2"/>
      <c r="Y1179" s="11">
        <v>4</v>
      </c>
      <c r="Z1179" s="12">
        <f t="shared" si="256"/>
        <v>0</v>
      </c>
      <c r="AA1179" s="4" t="s">
        <v>3379</v>
      </c>
      <c r="AC1179" s="176">
        <f t="shared" si="252"/>
        <v>0</v>
      </c>
    </row>
    <row r="1180" spans="2:29">
      <c r="B1180" s="183">
        <f t="shared" si="257"/>
        <v>33</v>
      </c>
      <c r="C1180" s="107" t="str">
        <f t="shared" si="258"/>
        <v>ATK</v>
      </c>
      <c r="D1180" s="2" t="s">
        <v>3382</v>
      </c>
      <c r="E1180" s="3">
        <v>44055</v>
      </c>
      <c r="F1180" s="3">
        <v>44055</v>
      </c>
      <c r="G1180" s="108">
        <f t="shared" si="259"/>
        <v>8</v>
      </c>
      <c r="H1180" s="108" t="str">
        <f t="shared" si="260"/>
        <v>Other</v>
      </c>
      <c r="I1180" s="112" t="s">
        <v>251</v>
      </c>
      <c r="J1180" s="4" t="s">
        <v>3383</v>
      </c>
      <c r="K1180" s="4" t="s">
        <v>3383</v>
      </c>
      <c r="L1180" s="6" t="str">
        <f t="shared" si="255"/>
        <v>Oth</v>
      </c>
      <c r="M1180" s="13" t="s">
        <v>3384</v>
      </c>
      <c r="N1180" s="7" t="s">
        <v>3952</v>
      </c>
      <c r="O1180" s="13" t="s">
        <v>3385</v>
      </c>
      <c r="P1180" s="115"/>
      <c r="Q1180" s="8"/>
      <c r="R1180" s="2">
        <v>1</v>
      </c>
      <c r="S1180" s="9">
        <v>0</v>
      </c>
      <c r="T1180" s="10">
        <f t="shared" si="261"/>
        <v>0</v>
      </c>
      <c r="U1180" s="9">
        <v>0</v>
      </c>
      <c r="V1180" s="10">
        <f t="shared" si="262"/>
        <v>0</v>
      </c>
      <c r="W1180" s="4" t="s">
        <v>122</v>
      </c>
      <c r="X1180" s="2"/>
      <c r="Y1180" s="11">
        <v>4</v>
      </c>
      <c r="Z1180" s="12">
        <f t="shared" si="256"/>
        <v>0</v>
      </c>
      <c r="AA1180" s="4" t="s">
        <v>3387</v>
      </c>
      <c r="AC1180" s="176">
        <f t="shared" si="252"/>
        <v>0</v>
      </c>
    </row>
    <row r="1181" spans="2:29">
      <c r="B1181" s="183">
        <f t="shared" si="257"/>
        <v>33</v>
      </c>
      <c r="C1181" s="107" t="str">
        <f t="shared" si="258"/>
        <v>ATK</v>
      </c>
      <c r="D1181" s="2" t="s">
        <v>1023</v>
      </c>
      <c r="E1181" s="3">
        <v>44055</v>
      </c>
      <c r="F1181" s="3">
        <v>44055</v>
      </c>
      <c r="G1181" s="108">
        <f t="shared" si="259"/>
        <v>8</v>
      </c>
      <c r="H1181" s="108" t="str">
        <f t="shared" si="260"/>
        <v>완료</v>
      </c>
      <c r="I1181" s="112" t="s">
        <v>218</v>
      </c>
      <c r="J1181" s="4" t="s">
        <v>127</v>
      </c>
      <c r="K1181" s="5" t="s">
        <v>135</v>
      </c>
      <c r="L1181" s="6" t="str">
        <f t="shared" si="255"/>
        <v>1T3</v>
      </c>
      <c r="M1181" s="13" t="s">
        <v>730</v>
      </c>
      <c r="N1181" s="7" t="s">
        <v>3491</v>
      </c>
      <c r="O1181" s="13" t="s">
        <v>3388</v>
      </c>
      <c r="P1181" s="115" t="s">
        <v>3389</v>
      </c>
      <c r="Q1181" s="8"/>
      <c r="R1181" s="2">
        <v>1</v>
      </c>
      <c r="S1181" s="9">
        <v>5000</v>
      </c>
      <c r="T1181" s="10">
        <f t="shared" ref="T1181:T1223" si="263">(S1181*50)/100*R1181</f>
        <v>2500</v>
      </c>
      <c r="U1181" s="9">
        <v>30</v>
      </c>
      <c r="V1181" s="10">
        <f t="shared" ref="V1181:V1223" si="264">T1181-U1181</f>
        <v>2470</v>
      </c>
      <c r="W1181" s="4" t="s">
        <v>122</v>
      </c>
      <c r="X1181" s="2"/>
      <c r="Y1181" s="11">
        <v>3</v>
      </c>
      <c r="Z1181" s="12">
        <f t="shared" si="256"/>
        <v>0</v>
      </c>
      <c r="AA1181" s="4" t="s">
        <v>117</v>
      </c>
      <c r="AC1181" s="176">
        <f t="shared" si="252"/>
        <v>2.7272727272727271E-2</v>
      </c>
    </row>
    <row r="1182" spans="2:29">
      <c r="B1182" s="183">
        <f t="shared" si="257"/>
        <v>33</v>
      </c>
      <c r="C1182" s="107" t="str">
        <f t="shared" si="258"/>
        <v>ATK</v>
      </c>
      <c r="D1182" s="2" t="s">
        <v>3390</v>
      </c>
      <c r="E1182" s="3">
        <v>44055</v>
      </c>
      <c r="F1182" s="3">
        <v>44055</v>
      </c>
      <c r="G1182" s="108">
        <f t="shared" si="259"/>
        <v>8</v>
      </c>
      <c r="H1182" s="108" t="str">
        <f t="shared" si="260"/>
        <v>완료</v>
      </c>
      <c r="I1182" s="112" t="s">
        <v>3391</v>
      </c>
      <c r="J1182" s="4" t="s">
        <v>3392</v>
      </c>
      <c r="K1182" s="5" t="s">
        <v>548</v>
      </c>
      <c r="L1182" s="6" t="str">
        <f t="shared" si="255"/>
        <v>6T2</v>
      </c>
      <c r="M1182" s="13" t="s">
        <v>299</v>
      </c>
      <c r="N1182" s="7" t="s">
        <v>3560</v>
      </c>
      <c r="O1182" s="13" t="s">
        <v>3393</v>
      </c>
      <c r="P1182" s="115" t="s">
        <v>3394</v>
      </c>
      <c r="Q1182" s="8"/>
      <c r="R1182" s="2">
        <v>1</v>
      </c>
      <c r="S1182" s="9">
        <v>910</v>
      </c>
      <c r="T1182" s="10">
        <f t="shared" si="263"/>
        <v>455</v>
      </c>
      <c r="U1182" s="9">
        <v>25</v>
      </c>
      <c r="V1182" s="10">
        <f t="shared" si="264"/>
        <v>430</v>
      </c>
      <c r="W1182" s="4" t="s">
        <v>3395</v>
      </c>
      <c r="X1182" s="2"/>
      <c r="Y1182" s="11">
        <v>2</v>
      </c>
      <c r="Z1182" s="12">
        <f t="shared" si="256"/>
        <v>0</v>
      </c>
      <c r="AA1182" s="4" t="s">
        <v>3396</v>
      </c>
      <c r="AC1182" s="176">
        <f t="shared" si="252"/>
        <v>2.2727272727272728E-2</v>
      </c>
    </row>
    <row r="1183" spans="2:29">
      <c r="B1183" s="183">
        <f t="shared" si="257"/>
        <v>33</v>
      </c>
      <c r="C1183" s="107" t="str">
        <f t="shared" si="258"/>
        <v>ATK</v>
      </c>
      <c r="D1183" s="2" t="s">
        <v>3397</v>
      </c>
      <c r="E1183" s="3">
        <v>44055</v>
      </c>
      <c r="F1183" s="3">
        <v>44055</v>
      </c>
      <c r="G1183" s="108">
        <f t="shared" si="259"/>
        <v>8</v>
      </c>
      <c r="H1183" s="108" t="str">
        <f t="shared" si="260"/>
        <v>완료</v>
      </c>
      <c r="I1183" s="112" t="s">
        <v>3391</v>
      </c>
      <c r="J1183" s="4" t="s">
        <v>3398</v>
      </c>
      <c r="K1183" s="5" t="s">
        <v>3398</v>
      </c>
      <c r="L1183" s="6" t="str">
        <f t="shared" si="255"/>
        <v>K5</v>
      </c>
      <c r="M1183" s="13" t="s">
        <v>3399</v>
      </c>
      <c r="N1183" s="7" t="s">
        <v>3540</v>
      </c>
      <c r="O1183" s="13" t="s">
        <v>207</v>
      </c>
      <c r="P1183" s="115" t="s">
        <v>3400</v>
      </c>
      <c r="Q1183" s="8"/>
      <c r="R1183" s="2">
        <v>1</v>
      </c>
      <c r="S1183" s="9">
        <v>3000</v>
      </c>
      <c r="T1183" s="10">
        <f t="shared" si="263"/>
        <v>1500</v>
      </c>
      <c r="U1183" s="9">
        <v>5</v>
      </c>
      <c r="V1183" s="10">
        <f t="shared" si="264"/>
        <v>1495</v>
      </c>
      <c r="W1183" s="4" t="s">
        <v>3395</v>
      </c>
      <c r="X1183" s="2"/>
      <c r="Y1183" s="11">
        <v>2</v>
      </c>
      <c r="Z1183" s="12">
        <f t="shared" si="256"/>
        <v>0</v>
      </c>
      <c r="AA1183" s="4" t="s">
        <v>3396</v>
      </c>
      <c r="AC1183" s="176">
        <f t="shared" si="252"/>
        <v>4.5454545454545452E-3</v>
      </c>
    </row>
    <row r="1184" spans="2:29">
      <c r="B1184" s="183">
        <f t="shared" si="257"/>
        <v>40</v>
      </c>
      <c r="C1184" s="107" t="str">
        <f t="shared" si="258"/>
        <v>ATK</v>
      </c>
      <c r="D1184" s="2" t="s">
        <v>3401</v>
      </c>
      <c r="E1184" s="3">
        <v>44056</v>
      </c>
      <c r="F1184" s="3">
        <v>44102</v>
      </c>
      <c r="G1184" s="108">
        <f t="shared" si="259"/>
        <v>9</v>
      </c>
      <c r="H1184" s="108" t="str">
        <f t="shared" si="260"/>
        <v>수리불가</v>
      </c>
      <c r="I1184" s="112" t="s">
        <v>670</v>
      </c>
      <c r="J1184" s="4" t="s">
        <v>3402</v>
      </c>
      <c r="K1184" s="5" t="s">
        <v>3403</v>
      </c>
      <c r="L1184" s="6" t="str">
        <f t="shared" si="255"/>
        <v>EE1</v>
      </c>
      <c r="M1184" s="13" t="s">
        <v>3404</v>
      </c>
      <c r="N1184" s="7" t="s">
        <v>140</v>
      </c>
      <c r="O1184" s="13" t="s">
        <v>3405</v>
      </c>
      <c r="P1184" s="115"/>
      <c r="Q1184" s="8" t="s">
        <v>3406</v>
      </c>
      <c r="R1184" s="2">
        <v>1</v>
      </c>
      <c r="S1184" s="9">
        <v>11000</v>
      </c>
      <c r="T1184" s="10">
        <f t="shared" si="263"/>
        <v>5500</v>
      </c>
      <c r="U1184" s="9">
        <v>0</v>
      </c>
      <c r="V1184" s="10">
        <f t="shared" si="264"/>
        <v>5500</v>
      </c>
      <c r="W1184" s="4" t="s">
        <v>326</v>
      </c>
      <c r="X1184" s="2" t="s">
        <v>29</v>
      </c>
      <c r="Y1184" s="11">
        <v>2</v>
      </c>
      <c r="Z1184" s="12">
        <f t="shared" si="256"/>
        <v>46</v>
      </c>
      <c r="AA1184" s="4" t="s">
        <v>3407</v>
      </c>
      <c r="AC1184" s="176">
        <f t="shared" si="252"/>
        <v>0</v>
      </c>
    </row>
    <row r="1185" spans="2:29">
      <c r="B1185" s="183">
        <f t="shared" si="257"/>
        <v>33</v>
      </c>
      <c r="C1185" s="107" t="str">
        <f t="shared" si="258"/>
        <v>ATK</v>
      </c>
      <c r="D1185" s="2" t="s">
        <v>3408</v>
      </c>
      <c r="E1185" s="3">
        <v>44055</v>
      </c>
      <c r="F1185" s="3">
        <v>44056</v>
      </c>
      <c r="G1185" s="108">
        <f t="shared" si="259"/>
        <v>8</v>
      </c>
      <c r="H1185" s="108" t="str">
        <f t="shared" si="260"/>
        <v>완료</v>
      </c>
      <c r="I1185" s="112" t="s">
        <v>218</v>
      </c>
      <c r="J1185" s="4" t="s">
        <v>173</v>
      </c>
      <c r="K1185" s="5" t="s">
        <v>128</v>
      </c>
      <c r="L1185" s="6" t="str">
        <f t="shared" si="255"/>
        <v>1T1</v>
      </c>
      <c r="M1185" s="13" t="s">
        <v>147</v>
      </c>
      <c r="N1185" s="7" t="s">
        <v>197</v>
      </c>
      <c r="O1185" s="13" t="s">
        <v>147</v>
      </c>
      <c r="P1185" s="115" t="s">
        <v>3409</v>
      </c>
      <c r="Q1185" s="8"/>
      <c r="R1185" s="2">
        <v>1</v>
      </c>
      <c r="S1185" s="9">
        <v>710</v>
      </c>
      <c r="T1185" s="10">
        <f t="shared" si="263"/>
        <v>355</v>
      </c>
      <c r="U1185" s="9">
        <v>20</v>
      </c>
      <c r="V1185" s="10">
        <f t="shared" si="264"/>
        <v>335</v>
      </c>
      <c r="W1185" s="4" t="s">
        <v>122</v>
      </c>
      <c r="X1185" s="2"/>
      <c r="Y1185" s="11">
        <v>1</v>
      </c>
      <c r="Z1185" s="12">
        <f t="shared" si="256"/>
        <v>1</v>
      </c>
      <c r="AA1185" s="4" t="s">
        <v>117</v>
      </c>
      <c r="AC1185" s="176">
        <f t="shared" si="252"/>
        <v>1.8181818181818181E-2</v>
      </c>
    </row>
    <row r="1186" spans="2:29">
      <c r="B1186" s="183">
        <f t="shared" si="257"/>
        <v>33</v>
      </c>
      <c r="C1186" s="107" t="str">
        <f t="shared" si="258"/>
        <v>ATK</v>
      </c>
      <c r="D1186" s="2" t="s">
        <v>664</v>
      </c>
      <c r="E1186" s="3">
        <v>44055</v>
      </c>
      <c r="F1186" s="3">
        <v>44057</v>
      </c>
      <c r="G1186" s="108">
        <f t="shared" si="259"/>
        <v>8</v>
      </c>
      <c r="H1186" s="108" t="str">
        <f t="shared" si="260"/>
        <v>완료</v>
      </c>
      <c r="I1186" s="112" t="s">
        <v>218</v>
      </c>
      <c r="J1186" s="4" t="s">
        <v>808</v>
      </c>
      <c r="K1186" s="5" t="s">
        <v>833</v>
      </c>
      <c r="L1186" s="6" t="str">
        <f t="shared" si="255"/>
        <v>1T3</v>
      </c>
      <c r="M1186" s="13" t="s">
        <v>1580</v>
      </c>
      <c r="N1186" s="7"/>
      <c r="O1186" s="13" t="s">
        <v>3410</v>
      </c>
      <c r="P1186" s="115" t="s">
        <v>3411</v>
      </c>
      <c r="Q1186" s="8"/>
      <c r="R1186" s="2">
        <v>1</v>
      </c>
      <c r="S1186" s="9">
        <v>25000</v>
      </c>
      <c r="T1186" s="10">
        <f t="shared" si="263"/>
        <v>12500</v>
      </c>
      <c r="U1186" s="9">
        <v>40</v>
      </c>
      <c r="V1186" s="10">
        <f t="shared" si="264"/>
        <v>12460</v>
      </c>
      <c r="W1186" s="4" t="s">
        <v>122</v>
      </c>
      <c r="X1186" s="2"/>
      <c r="Y1186" s="11">
        <v>9</v>
      </c>
      <c r="Z1186" s="12">
        <f t="shared" si="256"/>
        <v>2</v>
      </c>
      <c r="AA1186" s="4" t="s">
        <v>117</v>
      </c>
      <c r="AC1186" s="176">
        <f t="shared" si="252"/>
        <v>3.6363636363636362E-2</v>
      </c>
    </row>
    <row r="1187" spans="2:29">
      <c r="B1187" s="183">
        <f t="shared" si="257"/>
        <v>33</v>
      </c>
      <c r="C1187" s="107" t="str">
        <f t="shared" si="258"/>
        <v>ATK</v>
      </c>
      <c r="D1187" s="2" t="s">
        <v>3412</v>
      </c>
      <c r="E1187" s="3">
        <v>44055</v>
      </c>
      <c r="F1187" s="3">
        <v>44055</v>
      </c>
      <c r="G1187" s="108">
        <f t="shared" si="259"/>
        <v>8</v>
      </c>
      <c r="H1187" s="108" t="str">
        <f t="shared" si="260"/>
        <v>완료</v>
      </c>
      <c r="I1187" s="112" t="s">
        <v>218</v>
      </c>
      <c r="J1187" s="4" t="s">
        <v>115</v>
      </c>
      <c r="K1187" s="5" t="s">
        <v>116</v>
      </c>
      <c r="L1187" s="6" t="str">
        <f t="shared" si="255"/>
        <v>EE2</v>
      </c>
      <c r="M1187" s="13" t="s">
        <v>3413</v>
      </c>
      <c r="N1187" s="7" t="s">
        <v>3561</v>
      </c>
      <c r="O1187" s="13" t="s">
        <v>3414</v>
      </c>
      <c r="P1187" s="115" t="s">
        <v>3415</v>
      </c>
      <c r="Q1187" s="8"/>
      <c r="R1187" s="2">
        <v>1</v>
      </c>
      <c r="S1187" s="9">
        <v>60</v>
      </c>
      <c r="T1187" s="10">
        <f t="shared" si="263"/>
        <v>30</v>
      </c>
      <c r="U1187" s="9">
        <v>2</v>
      </c>
      <c r="V1187" s="10">
        <f t="shared" si="264"/>
        <v>28</v>
      </c>
      <c r="W1187" s="4" t="s">
        <v>122</v>
      </c>
      <c r="X1187" s="2"/>
      <c r="Y1187" s="11">
        <v>2</v>
      </c>
      <c r="Z1187" s="12">
        <f t="shared" si="256"/>
        <v>0</v>
      </c>
      <c r="AA1187" s="4" t="s">
        <v>120</v>
      </c>
      <c r="AC1187" s="176">
        <f t="shared" si="252"/>
        <v>1.8181818181818182E-3</v>
      </c>
    </row>
    <row r="1188" spans="2:29" ht="24">
      <c r="B1188" s="183">
        <f t="shared" si="257"/>
        <v>33</v>
      </c>
      <c r="C1188" s="107" t="str">
        <f t="shared" si="258"/>
        <v>ATK</v>
      </c>
      <c r="D1188" s="2" t="s">
        <v>3416</v>
      </c>
      <c r="E1188" s="3">
        <v>44046</v>
      </c>
      <c r="F1188" s="3">
        <v>44056</v>
      </c>
      <c r="G1188" s="108">
        <f t="shared" si="259"/>
        <v>8</v>
      </c>
      <c r="H1188" s="108" t="str">
        <f t="shared" si="260"/>
        <v>완료</v>
      </c>
      <c r="I1188" s="112" t="s">
        <v>218</v>
      </c>
      <c r="J1188" s="4" t="s">
        <v>115</v>
      </c>
      <c r="K1188" s="5" t="s">
        <v>138</v>
      </c>
      <c r="L1188" s="6" t="str">
        <f t="shared" si="255"/>
        <v>EE1</v>
      </c>
      <c r="M1188" s="13" t="s">
        <v>3014</v>
      </c>
      <c r="N1188" s="7" t="s">
        <v>3951</v>
      </c>
      <c r="O1188" s="13" t="s">
        <v>3417</v>
      </c>
      <c r="P1188" s="115" t="s">
        <v>3418</v>
      </c>
      <c r="Q1188" s="8" t="s">
        <v>3419</v>
      </c>
      <c r="R1188" s="2">
        <v>1</v>
      </c>
      <c r="S1188" s="9">
        <v>4000</v>
      </c>
      <c r="T1188" s="10">
        <f t="shared" si="263"/>
        <v>2000</v>
      </c>
      <c r="U1188" s="9">
        <v>3</v>
      </c>
      <c r="V1188" s="10">
        <f t="shared" si="264"/>
        <v>1997</v>
      </c>
      <c r="W1188" s="4" t="s">
        <v>122</v>
      </c>
      <c r="X1188" s="2"/>
      <c r="Y1188" s="11">
        <v>4</v>
      </c>
      <c r="Z1188" s="12">
        <f t="shared" si="256"/>
        <v>10</v>
      </c>
      <c r="AA1188" s="4" t="s">
        <v>120</v>
      </c>
      <c r="AC1188" s="176">
        <f t="shared" si="252"/>
        <v>2.7272727272727275E-3</v>
      </c>
    </row>
    <row r="1189" spans="2:29">
      <c r="B1189" s="183">
        <f t="shared" si="257"/>
        <v>33</v>
      </c>
      <c r="C1189" s="107" t="str">
        <f t="shared" si="258"/>
        <v>ATK</v>
      </c>
      <c r="D1189" s="2" t="s">
        <v>3420</v>
      </c>
      <c r="E1189" s="3">
        <v>44048</v>
      </c>
      <c r="F1189" s="3">
        <v>44056</v>
      </c>
      <c r="G1189" s="108">
        <f t="shared" si="259"/>
        <v>8</v>
      </c>
      <c r="H1189" s="108" t="str">
        <f t="shared" si="260"/>
        <v>완료</v>
      </c>
      <c r="I1189" s="112" t="s">
        <v>218</v>
      </c>
      <c r="J1189" s="4" t="s">
        <v>132</v>
      </c>
      <c r="K1189" s="5" t="s">
        <v>143</v>
      </c>
      <c r="L1189" s="6" t="str">
        <f t="shared" si="255"/>
        <v>3T4</v>
      </c>
      <c r="M1189" s="13" t="s">
        <v>3421</v>
      </c>
      <c r="N1189" s="7" t="s">
        <v>3528</v>
      </c>
      <c r="O1189" s="13" t="s">
        <v>367</v>
      </c>
      <c r="P1189" s="115" t="s">
        <v>3422</v>
      </c>
      <c r="Q1189" s="8"/>
      <c r="R1189" s="2">
        <v>1</v>
      </c>
      <c r="S1189" s="9">
        <v>1200</v>
      </c>
      <c r="T1189" s="10">
        <f t="shared" si="263"/>
        <v>600</v>
      </c>
      <c r="U1189" s="9">
        <v>5</v>
      </c>
      <c r="V1189" s="10">
        <f t="shared" si="264"/>
        <v>595</v>
      </c>
      <c r="W1189" s="4" t="s">
        <v>122</v>
      </c>
      <c r="X1189" s="2"/>
      <c r="Y1189" s="11">
        <v>3</v>
      </c>
      <c r="Z1189" s="12">
        <f t="shared" si="256"/>
        <v>8</v>
      </c>
      <c r="AA1189" s="4" t="s">
        <v>259</v>
      </c>
      <c r="AC1189" s="176">
        <f t="shared" si="252"/>
        <v>4.5454545454545452E-3</v>
      </c>
    </row>
    <row r="1190" spans="2:29">
      <c r="B1190" s="183">
        <f t="shared" si="257"/>
        <v>33</v>
      </c>
      <c r="C1190" s="107" t="str">
        <f t="shared" si="258"/>
        <v>ATK</v>
      </c>
      <c r="D1190" s="2" t="s">
        <v>3424</v>
      </c>
      <c r="E1190" s="3">
        <v>44055</v>
      </c>
      <c r="F1190" s="3">
        <v>44056</v>
      </c>
      <c r="G1190" s="108">
        <f t="shared" si="259"/>
        <v>8</v>
      </c>
      <c r="H1190" s="108" t="str">
        <f t="shared" si="260"/>
        <v>완료</v>
      </c>
      <c r="I1190" s="112" t="s">
        <v>218</v>
      </c>
      <c r="J1190" s="4" t="s">
        <v>115</v>
      </c>
      <c r="K1190" s="5" t="s">
        <v>116</v>
      </c>
      <c r="L1190" s="6" t="str">
        <f t="shared" si="255"/>
        <v>EE2</v>
      </c>
      <c r="M1190" s="13" t="s">
        <v>256</v>
      </c>
      <c r="N1190" s="7" t="s">
        <v>3953</v>
      </c>
      <c r="O1190" s="13" t="s">
        <v>3423</v>
      </c>
      <c r="P1190" s="115" t="s">
        <v>3422</v>
      </c>
      <c r="Q1190" s="8"/>
      <c r="R1190" s="2">
        <v>1</v>
      </c>
      <c r="S1190" s="9">
        <v>3500</v>
      </c>
      <c r="T1190" s="10">
        <f t="shared" si="263"/>
        <v>1750</v>
      </c>
      <c r="U1190" s="9">
        <v>25</v>
      </c>
      <c r="V1190" s="10">
        <f t="shared" si="264"/>
        <v>1725</v>
      </c>
      <c r="W1190" s="4" t="s">
        <v>122</v>
      </c>
      <c r="X1190" s="2"/>
      <c r="Y1190" s="11">
        <v>3</v>
      </c>
      <c r="Z1190" s="12">
        <f t="shared" si="256"/>
        <v>1</v>
      </c>
      <c r="AA1190" s="4" t="s">
        <v>259</v>
      </c>
      <c r="AC1190" s="176">
        <f t="shared" si="252"/>
        <v>2.2727272727272728E-2</v>
      </c>
    </row>
    <row r="1191" spans="2:29" ht="24">
      <c r="B1191" s="183">
        <f t="shared" si="257"/>
        <v>33</v>
      </c>
      <c r="C1191" s="107" t="str">
        <f t="shared" si="258"/>
        <v>ATK</v>
      </c>
      <c r="D1191" s="2" t="s">
        <v>174</v>
      </c>
      <c r="E1191" s="3">
        <v>44046</v>
      </c>
      <c r="F1191" s="3">
        <v>44056</v>
      </c>
      <c r="G1191" s="108">
        <f t="shared" si="259"/>
        <v>8</v>
      </c>
      <c r="H1191" s="108" t="str">
        <f t="shared" si="260"/>
        <v>완료</v>
      </c>
      <c r="I1191" s="112" t="s">
        <v>218</v>
      </c>
      <c r="J1191" s="4" t="s">
        <v>115</v>
      </c>
      <c r="K1191" s="5" t="s">
        <v>138</v>
      </c>
      <c r="L1191" s="6" t="str">
        <f t="shared" si="255"/>
        <v>EE1</v>
      </c>
      <c r="M1191" s="13" t="s">
        <v>3014</v>
      </c>
      <c r="N1191" s="7" t="s">
        <v>3951</v>
      </c>
      <c r="O1191" s="13" t="s">
        <v>3417</v>
      </c>
      <c r="P1191" s="115" t="s">
        <v>3418</v>
      </c>
      <c r="Q1191" s="8" t="s">
        <v>3425</v>
      </c>
      <c r="R1191" s="2">
        <v>1</v>
      </c>
      <c r="S1191" s="9">
        <v>4000</v>
      </c>
      <c r="T1191" s="10">
        <f t="shared" ref="T1191" si="265">(S1191*50)/100*R1191</f>
        <v>2000</v>
      </c>
      <c r="U1191" s="9">
        <v>3</v>
      </c>
      <c r="V1191" s="10">
        <f t="shared" ref="V1191" si="266">T1191-U1191</f>
        <v>1997</v>
      </c>
      <c r="W1191" s="4" t="s">
        <v>122</v>
      </c>
      <c r="X1191" s="2"/>
      <c r="Y1191" s="11">
        <v>4</v>
      </c>
      <c r="Z1191" s="12">
        <f t="shared" si="256"/>
        <v>10</v>
      </c>
      <c r="AA1191" s="4" t="s">
        <v>120</v>
      </c>
      <c r="AC1191" s="176">
        <f t="shared" si="252"/>
        <v>2.7272727272727275E-3</v>
      </c>
    </row>
    <row r="1192" spans="2:29">
      <c r="B1192" s="183">
        <f t="shared" si="257"/>
        <v>33</v>
      </c>
      <c r="C1192" s="107" t="str">
        <f t="shared" si="258"/>
        <v>ATK</v>
      </c>
      <c r="D1192" s="2" t="s">
        <v>3426</v>
      </c>
      <c r="E1192" s="3">
        <v>44056</v>
      </c>
      <c r="F1192" s="3">
        <v>44056</v>
      </c>
      <c r="G1192" s="108">
        <f t="shared" si="259"/>
        <v>8</v>
      </c>
      <c r="H1192" s="108" t="str">
        <f t="shared" si="260"/>
        <v>완료</v>
      </c>
      <c r="I1192" s="112" t="s">
        <v>218</v>
      </c>
      <c r="J1192" s="4" t="s">
        <v>132</v>
      </c>
      <c r="K1192" s="5" t="s">
        <v>133</v>
      </c>
      <c r="L1192" s="6" t="str">
        <f t="shared" si="255"/>
        <v>3T3</v>
      </c>
      <c r="M1192" s="13" t="s">
        <v>3427</v>
      </c>
      <c r="N1192" s="7" t="s">
        <v>3954</v>
      </c>
      <c r="O1192" s="13" t="s">
        <v>3428</v>
      </c>
      <c r="P1192" s="115" t="s">
        <v>3429</v>
      </c>
      <c r="Q1192" s="8" t="s">
        <v>3430</v>
      </c>
      <c r="R1192" s="2">
        <v>1</v>
      </c>
      <c r="S1192" s="9">
        <v>90</v>
      </c>
      <c r="T1192" s="10">
        <f t="shared" si="263"/>
        <v>45</v>
      </c>
      <c r="U1192" s="9">
        <v>0</v>
      </c>
      <c r="V1192" s="10">
        <f t="shared" si="264"/>
        <v>45</v>
      </c>
      <c r="W1192" s="4" t="s">
        <v>122</v>
      </c>
      <c r="X1192" s="2"/>
      <c r="Y1192" s="11">
        <v>2</v>
      </c>
      <c r="Z1192" s="12">
        <f t="shared" si="256"/>
        <v>0</v>
      </c>
      <c r="AA1192" s="4" t="s">
        <v>120</v>
      </c>
      <c r="AC1192" s="176">
        <f t="shared" si="252"/>
        <v>0</v>
      </c>
    </row>
    <row r="1193" spans="2:29">
      <c r="B1193" s="183">
        <f t="shared" si="257"/>
        <v>33</v>
      </c>
      <c r="C1193" s="107" t="str">
        <f t="shared" si="258"/>
        <v>ATK</v>
      </c>
      <c r="D1193" s="2" t="s">
        <v>250</v>
      </c>
      <c r="E1193" s="3">
        <v>44057</v>
      </c>
      <c r="F1193" s="3">
        <v>44057</v>
      </c>
      <c r="G1193" s="108">
        <f t="shared" si="259"/>
        <v>8</v>
      </c>
      <c r="H1193" s="108" t="str">
        <f t="shared" si="260"/>
        <v>Other</v>
      </c>
      <c r="I1193" s="112" t="s">
        <v>251</v>
      </c>
      <c r="J1193" s="4" t="s">
        <v>31</v>
      </c>
      <c r="K1193" s="4" t="s">
        <v>31</v>
      </c>
      <c r="L1193" s="6" t="str">
        <f t="shared" si="255"/>
        <v>Oth</v>
      </c>
      <c r="M1193" s="13" t="s">
        <v>2910</v>
      </c>
      <c r="N1193" s="7" t="s">
        <v>3955</v>
      </c>
      <c r="O1193" s="13" t="s">
        <v>3431</v>
      </c>
      <c r="P1193" s="115"/>
      <c r="Q1193" s="8"/>
      <c r="R1193" s="2">
        <v>1</v>
      </c>
      <c r="S1193" s="9">
        <v>0</v>
      </c>
      <c r="T1193" s="10">
        <f t="shared" si="263"/>
        <v>0</v>
      </c>
      <c r="U1193" s="9">
        <v>0</v>
      </c>
      <c r="V1193" s="10">
        <f t="shared" si="264"/>
        <v>0</v>
      </c>
      <c r="W1193" s="4" t="s">
        <v>122</v>
      </c>
      <c r="X1193" s="2"/>
      <c r="Y1193" s="11">
        <v>4</v>
      </c>
      <c r="Z1193" s="12">
        <f t="shared" si="256"/>
        <v>0</v>
      </c>
      <c r="AA1193" s="4" t="s">
        <v>30</v>
      </c>
      <c r="AC1193" s="176">
        <f t="shared" si="252"/>
        <v>0</v>
      </c>
    </row>
    <row r="1194" spans="2:29">
      <c r="B1194" s="183">
        <f t="shared" si="257"/>
        <v>33</v>
      </c>
      <c r="C1194" s="107" t="str">
        <f t="shared" si="258"/>
        <v>ATK</v>
      </c>
      <c r="D1194" s="2" t="s">
        <v>250</v>
      </c>
      <c r="E1194" s="3">
        <v>44057</v>
      </c>
      <c r="F1194" s="3">
        <v>44057</v>
      </c>
      <c r="G1194" s="108">
        <f t="shared" si="259"/>
        <v>8</v>
      </c>
      <c r="H1194" s="108" t="str">
        <f t="shared" si="260"/>
        <v>Other</v>
      </c>
      <c r="I1194" s="112" t="s">
        <v>251</v>
      </c>
      <c r="J1194" s="4" t="s">
        <v>31</v>
      </c>
      <c r="K1194" s="4" t="s">
        <v>31</v>
      </c>
      <c r="L1194" s="6" t="str">
        <f t="shared" si="255"/>
        <v>Oth</v>
      </c>
      <c r="M1194" s="13" t="s">
        <v>2910</v>
      </c>
      <c r="N1194" s="7" t="s">
        <v>3955</v>
      </c>
      <c r="O1194" s="13" t="s">
        <v>3431</v>
      </c>
      <c r="P1194" s="115"/>
      <c r="Q1194" s="8"/>
      <c r="R1194" s="2">
        <v>1</v>
      </c>
      <c r="S1194" s="9">
        <v>0</v>
      </c>
      <c r="T1194" s="10">
        <f t="shared" si="263"/>
        <v>0</v>
      </c>
      <c r="U1194" s="9">
        <v>0</v>
      </c>
      <c r="V1194" s="10">
        <f t="shared" si="264"/>
        <v>0</v>
      </c>
      <c r="W1194" s="4" t="s">
        <v>122</v>
      </c>
      <c r="X1194" s="2"/>
      <c r="Y1194" s="11">
        <v>4</v>
      </c>
      <c r="Z1194" s="12">
        <f t="shared" si="256"/>
        <v>0</v>
      </c>
      <c r="AA1194" s="4" t="s">
        <v>27</v>
      </c>
      <c r="AC1194" s="176">
        <f t="shared" si="252"/>
        <v>0</v>
      </c>
    </row>
    <row r="1195" spans="2:29">
      <c r="B1195" s="183">
        <f t="shared" si="257"/>
        <v>33</v>
      </c>
      <c r="C1195" s="107" t="str">
        <f t="shared" si="258"/>
        <v>ATK</v>
      </c>
      <c r="D1195" s="2" t="s">
        <v>250</v>
      </c>
      <c r="E1195" s="3">
        <v>44057</v>
      </c>
      <c r="F1195" s="3">
        <v>44057</v>
      </c>
      <c r="G1195" s="108">
        <f t="shared" si="259"/>
        <v>8</v>
      </c>
      <c r="H1195" s="108" t="str">
        <f t="shared" si="260"/>
        <v>Other</v>
      </c>
      <c r="I1195" s="112" t="s">
        <v>251</v>
      </c>
      <c r="J1195" s="4" t="s">
        <v>31</v>
      </c>
      <c r="K1195" s="4" t="s">
        <v>31</v>
      </c>
      <c r="L1195" s="6" t="str">
        <f t="shared" si="255"/>
        <v>Oth</v>
      </c>
      <c r="M1195" s="13" t="s">
        <v>2910</v>
      </c>
      <c r="N1195" s="7" t="s">
        <v>3955</v>
      </c>
      <c r="O1195" s="13" t="s">
        <v>3431</v>
      </c>
      <c r="P1195" s="115"/>
      <c r="Q1195" s="8"/>
      <c r="R1195" s="2">
        <v>1</v>
      </c>
      <c r="S1195" s="9">
        <v>0</v>
      </c>
      <c r="T1195" s="10">
        <f t="shared" si="263"/>
        <v>0</v>
      </c>
      <c r="U1195" s="9">
        <v>0</v>
      </c>
      <c r="V1195" s="10">
        <f t="shared" si="264"/>
        <v>0</v>
      </c>
      <c r="W1195" s="4" t="s">
        <v>122</v>
      </c>
      <c r="X1195" s="2"/>
      <c r="Y1195" s="11">
        <v>4</v>
      </c>
      <c r="Z1195" s="12">
        <f t="shared" si="256"/>
        <v>0</v>
      </c>
      <c r="AA1195" s="4" t="s">
        <v>175</v>
      </c>
      <c r="AC1195" s="176">
        <f t="shared" si="252"/>
        <v>0</v>
      </c>
    </row>
    <row r="1196" spans="2:29">
      <c r="B1196" s="183">
        <f t="shared" si="257"/>
        <v>34</v>
      </c>
      <c r="C1196" s="107" t="str">
        <f t="shared" si="258"/>
        <v>ATK</v>
      </c>
      <c r="D1196" s="2" t="s">
        <v>3174</v>
      </c>
      <c r="E1196" s="3">
        <v>44057</v>
      </c>
      <c r="F1196" s="3">
        <v>44061</v>
      </c>
      <c r="G1196" s="108">
        <f t="shared" si="259"/>
        <v>8</v>
      </c>
      <c r="H1196" s="108" t="str">
        <f t="shared" si="260"/>
        <v>완료</v>
      </c>
      <c r="I1196" s="112" t="s">
        <v>514</v>
      </c>
      <c r="J1196" s="4" t="s">
        <v>281</v>
      </c>
      <c r="K1196" s="5" t="s">
        <v>282</v>
      </c>
      <c r="L1196" s="6" t="str">
        <f t="shared" si="255"/>
        <v>EE1</v>
      </c>
      <c r="M1196" s="13" t="s">
        <v>3432</v>
      </c>
      <c r="N1196" s="7" t="s">
        <v>140</v>
      </c>
      <c r="O1196" s="13" t="s">
        <v>3433</v>
      </c>
      <c r="P1196" s="115"/>
      <c r="Q1196" s="8"/>
      <c r="R1196" s="2">
        <v>1</v>
      </c>
      <c r="S1196" s="9">
        <v>2500</v>
      </c>
      <c r="T1196" s="10">
        <f t="shared" si="263"/>
        <v>1250</v>
      </c>
      <c r="U1196" s="9">
        <v>200</v>
      </c>
      <c r="V1196" s="10">
        <f t="shared" si="264"/>
        <v>1050</v>
      </c>
      <c r="W1196" s="4" t="s">
        <v>123</v>
      </c>
      <c r="X1196" s="2" t="s">
        <v>178</v>
      </c>
      <c r="Y1196" s="11">
        <v>1</v>
      </c>
      <c r="Z1196" s="12">
        <f t="shared" si="256"/>
        <v>4</v>
      </c>
      <c r="AA1196" s="4" t="s">
        <v>30</v>
      </c>
      <c r="AB1196" s="201" t="s">
        <v>3434</v>
      </c>
      <c r="AC1196" s="176">
        <f t="shared" si="252"/>
        <v>0.18181818181818182</v>
      </c>
    </row>
    <row r="1197" spans="2:29">
      <c r="B1197" s="183">
        <f t="shared" si="257"/>
        <v>33</v>
      </c>
      <c r="C1197" s="107" t="str">
        <f t="shared" si="258"/>
        <v>ATK</v>
      </c>
      <c r="D1197" s="2" t="s">
        <v>295</v>
      </c>
      <c r="E1197" s="3">
        <v>44055</v>
      </c>
      <c r="F1197" s="3">
        <v>44057</v>
      </c>
      <c r="G1197" s="108">
        <f t="shared" si="259"/>
        <v>8</v>
      </c>
      <c r="H1197" s="108" t="str">
        <f t="shared" si="260"/>
        <v>완료</v>
      </c>
      <c r="I1197" s="112" t="s">
        <v>218</v>
      </c>
      <c r="J1197" s="4" t="s">
        <v>132</v>
      </c>
      <c r="K1197" s="5" t="s">
        <v>133</v>
      </c>
      <c r="L1197" s="6" t="str">
        <f t="shared" si="255"/>
        <v>3T3</v>
      </c>
      <c r="M1197" s="13" t="s">
        <v>635</v>
      </c>
      <c r="N1197" s="7" t="s">
        <v>3899</v>
      </c>
      <c r="O1197" s="13" t="s">
        <v>3435</v>
      </c>
      <c r="P1197" s="115"/>
      <c r="Q1197" s="8"/>
      <c r="R1197" s="2">
        <v>1</v>
      </c>
      <c r="S1197" s="9">
        <v>1000</v>
      </c>
      <c r="T1197" s="10">
        <f t="shared" si="263"/>
        <v>500</v>
      </c>
      <c r="U1197" s="9">
        <v>50</v>
      </c>
      <c r="V1197" s="10">
        <f t="shared" si="264"/>
        <v>450</v>
      </c>
      <c r="W1197" s="4" t="s">
        <v>122</v>
      </c>
      <c r="X1197" s="2"/>
      <c r="Y1197" s="11">
        <v>4</v>
      </c>
      <c r="Z1197" s="12">
        <f t="shared" si="256"/>
        <v>2</v>
      </c>
      <c r="AA1197" s="4" t="s">
        <v>27</v>
      </c>
      <c r="AC1197" s="176">
        <f t="shared" si="252"/>
        <v>4.5454545454545456E-2</v>
      </c>
    </row>
    <row r="1198" spans="2:29">
      <c r="B1198" s="183">
        <f t="shared" si="257"/>
        <v>33</v>
      </c>
      <c r="C1198" s="107" t="str">
        <f t="shared" si="258"/>
        <v>ATK</v>
      </c>
      <c r="D1198" s="2" t="s">
        <v>3436</v>
      </c>
      <c r="E1198" s="3">
        <v>44057</v>
      </c>
      <c r="F1198" s="3">
        <v>44057</v>
      </c>
      <c r="G1198" s="108">
        <f t="shared" si="259"/>
        <v>8</v>
      </c>
      <c r="H1198" s="108" t="str">
        <f t="shared" si="260"/>
        <v>완료</v>
      </c>
      <c r="I1198" s="112" t="s">
        <v>218</v>
      </c>
      <c r="J1198" s="4" t="s">
        <v>121</v>
      </c>
      <c r="K1198" s="5" t="s">
        <v>229</v>
      </c>
      <c r="L1198" s="6" t="str">
        <f t="shared" si="255"/>
        <v>5T2</v>
      </c>
      <c r="M1198" s="13"/>
      <c r="N1198" s="7" t="s">
        <v>3939</v>
      </c>
      <c r="O1198" s="13" t="s">
        <v>3437</v>
      </c>
      <c r="P1198" s="115" t="s">
        <v>3438</v>
      </c>
      <c r="Q1198" s="8"/>
      <c r="R1198" s="2">
        <v>1</v>
      </c>
      <c r="S1198" s="9">
        <v>1200</v>
      </c>
      <c r="T1198" s="10">
        <f t="shared" si="263"/>
        <v>600</v>
      </c>
      <c r="U1198" s="9">
        <v>2</v>
      </c>
      <c r="V1198" s="10">
        <f t="shared" si="264"/>
        <v>598</v>
      </c>
      <c r="W1198" s="4" t="s">
        <v>122</v>
      </c>
      <c r="X1198" s="2"/>
      <c r="Y1198" s="11">
        <v>2</v>
      </c>
      <c r="Z1198" s="12">
        <f t="shared" si="256"/>
        <v>0</v>
      </c>
      <c r="AA1198" s="4" t="s">
        <v>259</v>
      </c>
      <c r="AC1198" s="176">
        <f t="shared" si="252"/>
        <v>1.8181818181818182E-3</v>
      </c>
    </row>
    <row r="1199" spans="2:29">
      <c r="B1199" s="183">
        <f t="shared" si="257"/>
        <v>33</v>
      </c>
      <c r="C1199" s="107" t="str">
        <f t="shared" si="258"/>
        <v>ATK</v>
      </c>
      <c r="D1199" s="2" t="s">
        <v>217</v>
      </c>
      <c r="E1199" s="3">
        <v>44057</v>
      </c>
      <c r="F1199" s="3">
        <v>44057</v>
      </c>
      <c r="G1199" s="108">
        <f t="shared" si="259"/>
        <v>8</v>
      </c>
      <c r="H1199" s="108" t="str">
        <f t="shared" si="260"/>
        <v>완료</v>
      </c>
      <c r="I1199" s="112" t="s">
        <v>218</v>
      </c>
      <c r="J1199" s="4" t="s">
        <v>127</v>
      </c>
      <c r="K1199" s="5" t="s">
        <v>131</v>
      </c>
      <c r="L1199" s="6" t="str">
        <f t="shared" si="255"/>
        <v>1T4</v>
      </c>
      <c r="M1199" s="13"/>
      <c r="N1199" s="7" t="s">
        <v>3956</v>
      </c>
      <c r="O1199" s="13" t="s">
        <v>3439</v>
      </c>
      <c r="P1199" s="115" t="s">
        <v>3445</v>
      </c>
      <c r="Q1199" s="8"/>
      <c r="R1199" s="2">
        <v>1</v>
      </c>
      <c r="S1199" s="9">
        <v>1600</v>
      </c>
      <c r="T1199" s="10">
        <f t="shared" si="263"/>
        <v>800</v>
      </c>
      <c r="U1199" s="9">
        <v>1</v>
      </c>
      <c r="V1199" s="10">
        <f t="shared" si="264"/>
        <v>799</v>
      </c>
      <c r="W1199" s="4" t="s">
        <v>122</v>
      </c>
      <c r="X1199" s="2"/>
      <c r="Y1199" s="11">
        <v>3</v>
      </c>
      <c r="Z1199" s="12">
        <f t="shared" si="256"/>
        <v>0</v>
      </c>
      <c r="AA1199" s="4" t="s">
        <v>120</v>
      </c>
      <c r="AC1199" s="176">
        <f t="shared" si="252"/>
        <v>9.0909090909090909E-4</v>
      </c>
    </row>
    <row r="1200" spans="2:29">
      <c r="B1200" s="183">
        <f t="shared" si="257"/>
        <v>33</v>
      </c>
      <c r="C1200" s="107" t="str">
        <f t="shared" si="258"/>
        <v>ATK</v>
      </c>
      <c r="D1200" s="2" t="s">
        <v>1394</v>
      </c>
      <c r="E1200" s="3">
        <v>44057</v>
      </c>
      <c r="F1200" s="3">
        <v>44057</v>
      </c>
      <c r="G1200" s="108">
        <f t="shared" si="259"/>
        <v>8</v>
      </c>
      <c r="H1200" s="108" t="str">
        <f t="shared" si="260"/>
        <v>완료</v>
      </c>
      <c r="I1200" s="112" t="s">
        <v>218</v>
      </c>
      <c r="J1200" s="4" t="s">
        <v>127</v>
      </c>
      <c r="K1200" s="5" t="s">
        <v>209</v>
      </c>
      <c r="L1200" s="6" t="str">
        <f t="shared" si="255"/>
        <v>1T2</v>
      </c>
      <c r="M1200" s="13" t="s">
        <v>270</v>
      </c>
      <c r="N1200" s="7" t="s">
        <v>3631</v>
      </c>
      <c r="O1200" s="13" t="s">
        <v>270</v>
      </c>
      <c r="P1200" s="115" t="s">
        <v>1766</v>
      </c>
      <c r="Q1200" s="8" t="s">
        <v>3441</v>
      </c>
      <c r="R1200" s="2">
        <v>1</v>
      </c>
      <c r="S1200" s="9">
        <v>710</v>
      </c>
      <c r="T1200" s="10">
        <f t="shared" si="263"/>
        <v>355</v>
      </c>
      <c r="U1200" s="9">
        <v>25</v>
      </c>
      <c r="V1200" s="10">
        <f t="shared" si="264"/>
        <v>330</v>
      </c>
      <c r="W1200" s="4" t="s">
        <v>122</v>
      </c>
      <c r="X1200" s="2"/>
      <c r="Y1200" s="11">
        <v>2</v>
      </c>
      <c r="Z1200" s="12">
        <f t="shared" si="256"/>
        <v>0</v>
      </c>
      <c r="AA1200" s="4" t="s">
        <v>3440</v>
      </c>
      <c r="AC1200" s="176">
        <f t="shared" si="252"/>
        <v>2.2727272727272728E-2</v>
      </c>
    </row>
    <row r="1201" spans="2:29">
      <c r="B1201" s="183">
        <f t="shared" si="257"/>
        <v>35</v>
      </c>
      <c r="C1201" s="107" t="str">
        <f t="shared" si="258"/>
        <v>ATK</v>
      </c>
      <c r="D1201" s="2" t="s">
        <v>3436</v>
      </c>
      <c r="E1201" s="3">
        <v>44057</v>
      </c>
      <c r="F1201" s="3">
        <v>44071</v>
      </c>
      <c r="G1201" s="108">
        <f t="shared" si="259"/>
        <v>8</v>
      </c>
      <c r="H1201" s="108" t="str">
        <f t="shared" si="260"/>
        <v>완료</v>
      </c>
      <c r="I1201" s="112" t="s">
        <v>218</v>
      </c>
      <c r="J1201" s="4" t="s">
        <v>121</v>
      </c>
      <c r="K1201" s="5" t="s">
        <v>229</v>
      </c>
      <c r="L1201" s="6" t="str">
        <f t="shared" si="255"/>
        <v>5T2</v>
      </c>
      <c r="M1201" s="13" t="s">
        <v>3442</v>
      </c>
      <c r="N1201" s="7" t="s">
        <v>3501</v>
      </c>
      <c r="O1201" s="13" t="s">
        <v>3443</v>
      </c>
      <c r="P1201" s="115" t="s">
        <v>3444</v>
      </c>
      <c r="Q1201" s="8"/>
      <c r="R1201" s="2">
        <v>1</v>
      </c>
      <c r="S1201" s="9">
        <v>1000</v>
      </c>
      <c r="T1201" s="10">
        <f t="shared" ref="T1201" si="267">(S1201*50)/100*R1201</f>
        <v>500</v>
      </c>
      <c r="U1201" s="9">
        <v>2</v>
      </c>
      <c r="V1201" s="10">
        <f t="shared" ref="V1201" si="268">T1201-U1201</f>
        <v>498</v>
      </c>
      <c r="W1201" s="4" t="s">
        <v>122</v>
      </c>
      <c r="X1201" s="2"/>
      <c r="Y1201" s="11">
        <v>8</v>
      </c>
      <c r="Z1201" s="12">
        <f t="shared" si="256"/>
        <v>14</v>
      </c>
      <c r="AA1201" s="4" t="s">
        <v>212</v>
      </c>
      <c r="AC1201" s="176">
        <f t="shared" si="252"/>
        <v>1.8181818181818182E-3</v>
      </c>
    </row>
    <row r="1202" spans="2:29">
      <c r="B1202" s="183">
        <f t="shared" si="257"/>
        <v>33</v>
      </c>
      <c r="C1202" s="107" t="str">
        <f t="shared" si="258"/>
        <v>ATK</v>
      </c>
      <c r="D1202" s="2" t="s">
        <v>223</v>
      </c>
      <c r="E1202" s="3">
        <v>44056</v>
      </c>
      <c r="F1202" s="3">
        <v>44057</v>
      </c>
      <c r="G1202" s="108">
        <f t="shared" si="259"/>
        <v>8</v>
      </c>
      <c r="H1202" s="108" t="str">
        <f t="shared" si="260"/>
        <v>완료</v>
      </c>
      <c r="I1202" s="112" t="s">
        <v>264</v>
      </c>
      <c r="J1202" s="4" t="s">
        <v>121</v>
      </c>
      <c r="K1202" s="5" t="s">
        <v>229</v>
      </c>
      <c r="L1202" s="6" t="str">
        <f t="shared" si="255"/>
        <v>5T2</v>
      </c>
      <c r="M1202" s="13" t="s">
        <v>299</v>
      </c>
      <c r="N1202" s="7" t="s">
        <v>3865</v>
      </c>
      <c r="O1202" s="13" t="s">
        <v>270</v>
      </c>
      <c r="P1202" s="115" t="s">
        <v>2596</v>
      </c>
      <c r="Q1202" s="8" t="s">
        <v>3446</v>
      </c>
      <c r="R1202" s="2">
        <v>1</v>
      </c>
      <c r="S1202" s="9">
        <v>710</v>
      </c>
      <c r="T1202" s="10">
        <f t="shared" ref="T1202" si="269">(S1202*50)/100*R1202</f>
        <v>355</v>
      </c>
      <c r="U1202" s="9">
        <v>25</v>
      </c>
      <c r="V1202" s="10">
        <f t="shared" ref="V1202" si="270">T1202-U1202</f>
        <v>330</v>
      </c>
      <c r="W1202" s="4" t="s">
        <v>122</v>
      </c>
      <c r="X1202" s="2"/>
      <c r="Y1202" s="11">
        <v>2</v>
      </c>
      <c r="Z1202" s="12">
        <f t="shared" si="256"/>
        <v>1</v>
      </c>
      <c r="AA1202" s="4" t="s">
        <v>174</v>
      </c>
      <c r="AC1202" s="176">
        <f t="shared" ref="AC1202:AC1265" si="271">U1202/1100</f>
        <v>2.2727272727272728E-2</v>
      </c>
    </row>
    <row r="1203" spans="2:29">
      <c r="B1203" s="183">
        <f t="shared" si="257"/>
        <v>33</v>
      </c>
      <c r="C1203" s="107" t="str">
        <f t="shared" si="258"/>
        <v>ATK</v>
      </c>
      <c r="D1203" s="2" t="s">
        <v>2944</v>
      </c>
      <c r="E1203" s="3">
        <v>44057</v>
      </c>
      <c r="F1203" s="3">
        <v>44057</v>
      </c>
      <c r="G1203" s="108">
        <f t="shared" si="259"/>
        <v>8</v>
      </c>
      <c r="H1203" s="108" t="str">
        <f t="shared" si="260"/>
        <v>Other</v>
      </c>
      <c r="I1203" s="112" t="s">
        <v>251</v>
      </c>
      <c r="J1203" s="4" t="s">
        <v>31</v>
      </c>
      <c r="K1203" s="4" t="s">
        <v>31</v>
      </c>
      <c r="L1203" s="6" t="str">
        <f t="shared" si="255"/>
        <v>Oth</v>
      </c>
      <c r="M1203" s="13" t="s">
        <v>2910</v>
      </c>
      <c r="N1203" s="7" t="s">
        <v>3957</v>
      </c>
      <c r="O1203" s="13" t="s">
        <v>3447</v>
      </c>
      <c r="P1203" s="115"/>
      <c r="Q1203" s="8"/>
      <c r="R1203" s="2">
        <v>1</v>
      </c>
      <c r="S1203" s="9">
        <v>0</v>
      </c>
      <c r="T1203" s="10">
        <f t="shared" si="263"/>
        <v>0</v>
      </c>
      <c r="U1203" s="9">
        <v>0</v>
      </c>
      <c r="V1203" s="10">
        <f t="shared" si="264"/>
        <v>0</v>
      </c>
      <c r="W1203" s="4" t="s">
        <v>122</v>
      </c>
      <c r="X1203" s="2"/>
      <c r="Y1203" s="11">
        <v>2</v>
      </c>
      <c r="Z1203" s="12">
        <f t="shared" si="256"/>
        <v>0</v>
      </c>
      <c r="AA1203" s="4" t="s">
        <v>30</v>
      </c>
      <c r="AC1203" s="176">
        <f t="shared" si="271"/>
        <v>0</v>
      </c>
    </row>
    <row r="1204" spans="2:29">
      <c r="B1204" s="183">
        <f t="shared" si="257"/>
        <v>33</v>
      </c>
      <c r="C1204" s="107" t="str">
        <f t="shared" si="258"/>
        <v>ATK</v>
      </c>
      <c r="D1204" s="2" t="s">
        <v>2944</v>
      </c>
      <c r="E1204" s="3">
        <v>44057</v>
      </c>
      <c r="F1204" s="3">
        <v>44057</v>
      </c>
      <c r="G1204" s="108">
        <f t="shared" si="259"/>
        <v>8</v>
      </c>
      <c r="H1204" s="108" t="str">
        <f t="shared" si="260"/>
        <v>Other</v>
      </c>
      <c r="I1204" s="112" t="s">
        <v>251</v>
      </c>
      <c r="J1204" s="4" t="s">
        <v>31</v>
      </c>
      <c r="K1204" s="4" t="s">
        <v>31</v>
      </c>
      <c r="L1204" s="6" t="str">
        <f t="shared" si="255"/>
        <v>Oth</v>
      </c>
      <c r="M1204" s="13" t="s">
        <v>2910</v>
      </c>
      <c r="N1204" s="7" t="s">
        <v>3957</v>
      </c>
      <c r="O1204" s="13" t="s">
        <v>3447</v>
      </c>
      <c r="P1204" s="115"/>
      <c r="Q1204" s="8"/>
      <c r="R1204" s="2">
        <v>1</v>
      </c>
      <c r="S1204" s="9">
        <v>0</v>
      </c>
      <c r="T1204" s="10">
        <f t="shared" si="263"/>
        <v>0</v>
      </c>
      <c r="U1204" s="9">
        <v>0</v>
      </c>
      <c r="V1204" s="10">
        <f t="shared" si="264"/>
        <v>0</v>
      </c>
      <c r="W1204" s="4" t="s">
        <v>122</v>
      </c>
      <c r="X1204" s="2"/>
      <c r="Y1204" s="11">
        <v>2</v>
      </c>
      <c r="Z1204" s="12">
        <f t="shared" si="256"/>
        <v>0</v>
      </c>
      <c r="AA1204" s="4" t="s">
        <v>27</v>
      </c>
      <c r="AC1204" s="176">
        <f t="shared" si="271"/>
        <v>0</v>
      </c>
    </row>
    <row r="1205" spans="2:29">
      <c r="B1205" s="183">
        <f t="shared" si="257"/>
        <v>34</v>
      </c>
      <c r="C1205" s="107" t="str">
        <f t="shared" si="258"/>
        <v>ATK</v>
      </c>
      <c r="D1205" s="2" t="s">
        <v>295</v>
      </c>
      <c r="E1205" s="3">
        <v>44056</v>
      </c>
      <c r="F1205" s="3">
        <v>44061</v>
      </c>
      <c r="G1205" s="108">
        <f t="shared" si="259"/>
        <v>8</v>
      </c>
      <c r="H1205" s="108" t="str">
        <f t="shared" si="260"/>
        <v>완료</v>
      </c>
      <c r="I1205" s="112" t="s">
        <v>218</v>
      </c>
      <c r="J1205" s="4" t="s">
        <v>132</v>
      </c>
      <c r="K1205" s="5" t="s">
        <v>133</v>
      </c>
      <c r="L1205" s="6" t="str">
        <f t="shared" si="255"/>
        <v>3T3</v>
      </c>
      <c r="M1205" s="13" t="s">
        <v>635</v>
      </c>
      <c r="N1205" s="7" t="s">
        <v>226</v>
      </c>
      <c r="O1205" s="13" t="s">
        <v>3428</v>
      </c>
      <c r="P1205" s="115" t="s">
        <v>3429</v>
      </c>
      <c r="Q1205" s="8" t="s">
        <v>3448</v>
      </c>
      <c r="R1205" s="2">
        <v>1</v>
      </c>
      <c r="S1205" s="9">
        <v>90</v>
      </c>
      <c r="T1205" s="10">
        <f t="shared" si="263"/>
        <v>45</v>
      </c>
      <c r="U1205" s="9">
        <v>0</v>
      </c>
      <c r="V1205" s="10">
        <f t="shared" si="264"/>
        <v>45</v>
      </c>
      <c r="W1205" s="4" t="s">
        <v>122</v>
      </c>
      <c r="X1205" s="2"/>
      <c r="Y1205" s="11">
        <v>2</v>
      </c>
      <c r="Z1205" s="12">
        <f t="shared" si="256"/>
        <v>5</v>
      </c>
      <c r="AA1205" s="4" t="s">
        <v>120</v>
      </c>
      <c r="AC1205" s="176">
        <f t="shared" si="271"/>
        <v>0</v>
      </c>
    </row>
    <row r="1206" spans="2:29">
      <c r="B1206" s="183">
        <f t="shared" si="257"/>
        <v>34</v>
      </c>
      <c r="C1206" s="107" t="str">
        <f t="shared" si="258"/>
        <v>ATK</v>
      </c>
      <c r="D1206" s="2" t="s">
        <v>302</v>
      </c>
      <c r="E1206" s="3">
        <v>44057</v>
      </c>
      <c r="F1206" s="3">
        <v>44061</v>
      </c>
      <c r="G1206" s="108">
        <f t="shared" si="259"/>
        <v>8</v>
      </c>
      <c r="H1206" s="108" t="str">
        <f t="shared" si="260"/>
        <v>완료</v>
      </c>
      <c r="I1206" s="112" t="s">
        <v>218</v>
      </c>
      <c r="J1206" s="4" t="s">
        <v>173</v>
      </c>
      <c r="K1206" s="5" t="s">
        <v>128</v>
      </c>
      <c r="L1206" s="6" t="str">
        <f t="shared" si="255"/>
        <v>1T1</v>
      </c>
      <c r="M1206" s="13" t="s">
        <v>1174</v>
      </c>
      <c r="N1206" s="7" t="s">
        <v>1741</v>
      </c>
      <c r="O1206" s="13" t="s">
        <v>543</v>
      </c>
      <c r="P1206" s="115" t="s">
        <v>3449</v>
      </c>
      <c r="Q1206" s="8" t="s">
        <v>3450</v>
      </c>
      <c r="R1206" s="2">
        <v>1</v>
      </c>
      <c r="S1206" s="9">
        <v>1200</v>
      </c>
      <c r="T1206" s="10">
        <f t="shared" si="263"/>
        <v>600</v>
      </c>
      <c r="U1206" s="9">
        <v>2</v>
      </c>
      <c r="V1206" s="10">
        <f t="shared" si="264"/>
        <v>598</v>
      </c>
      <c r="W1206" s="4" t="s">
        <v>122</v>
      </c>
      <c r="X1206" s="2"/>
      <c r="Y1206" s="11">
        <v>3</v>
      </c>
      <c r="Z1206" s="12">
        <f t="shared" si="256"/>
        <v>4</v>
      </c>
      <c r="AA1206" s="4" t="s">
        <v>120</v>
      </c>
      <c r="AC1206" s="176">
        <f t="shared" si="271"/>
        <v>1.8181818181818182E-3</v>
      </c>
    </row>
    <row r="1207" spans="2:29">
      <c r="B1207" s="183">
        <f t="shared" si="257"/>
        <v>34</v>
      </c>
      <c r="C1207" s="107" t="str">
        <f t="shared" si="258"/>
        <v>ATK</v>
      </c>
      <c r="D1207" s="2" t="s">
        <v>3451</v>
      </c>
      <c r="E1207" s="3">
        <v>44061</v>
      </c>
      <c r="F1207" s="3">
        <v>44061</v>
      </c>
      <c r="G1207" s="108">
        <f t="shared" si="259"/>
        <v>8</v>
      </c>
      <c r="H1207" s="108" t="str">
        <f t="shared" si="260"/>
        <v>완료</v>
      </c>
      <c r="I1207" s="112" t="s">
        <v>218</v>
      </c>
      <c r="J1207" s="4" t="s">
        <v>121</v>
      </c>
      <c r="K1207" s="5" t="s">
        <v>136</v>
      </c>
      <c r="L1207" s="6" t="str">
        <f t="shared" si="255"/>
        <v>5T1</v>
      </c>
      <c r="M1207" s="13" t="s">
        <v>3452</v>
      </c>
      <c r="N1207" s="7" t="s">
        <v>226</v>
      </c>
      <c r="O1207" s="13" t="s">
        <v>3453</v>
      </c>
      <c r="P1207" s="115" t="s">
        <v>3454</v>
      </c>
      <c r="Q1207" s="8"/>
      <c r="R1207" s="2">
        <v>1</v>
      </c>
      <c r="S1207" s="9">
        <v>3000</v>
      </c>
      <c r="T1207" s="10">
        <f t="shared" si="263"/>
        <v>1500</v>
      </c>
      <c r="U1207" s="9">
        <v>1</v>
      </c>
      <c r="V1207" s="10">
        <f t="shared" si="264"/>
        <v>1499</v>
      </c>
      <c r="W1207" s="4" t="s">
        <v>122</v>
      </c>
      <c r="X1207" s="2"/>
      <c r="Y1207" s="11">
        <v>1</v>
      </c>
      <c r="Z1207" s="12">
        <f t="shared" si="256"/>
        <v>0</v>
      </c>
      <c r="AA1207" s="4" t="s">
        <v>117</v>
      </c>
      <c r="AC1207" s="176">
        <f t="shared" si="271"/>
        <v>9.0909090909090909E-4</v>
      </c>
    </row>
    <row r="1208" spans="2:29">
      <c r="B1208" s="183">
        <f t="shared" si="257"/>
        <v>35</v>
      </c>
      <c r="C1208" s="107" t="str">
        <f t="shared" si="258"/>
        <v>ATK</v>
      </c>
      <c r="D1208" s="2" t="s">
        <v>3455</v>
      </c>
      <c r="E1208" s="3">
        <v>44061</v>
      </c>
      <c r="F1208" s="3">
        <v>44067</v>
      </c>
      <c r="G1208" s="108">
        <f t="shared" si="259"/>
        <v>8</v>
      </c>
      <c r="H1208" s="108" t="str">
        <f t="shared" si="260"/>
        <v>완료</v>
      </c>
      <c r="I1208" s="112" t="s">
        <v>218</v>
      </c>
      <c r="J1208" s="4" t="s">
        <v>132</v>
      </c>
      <c r="K1208" s="5" t="s">
        <v>133</v>
      </c>
      <c r="L1208" s="6" t="str">
        <f t="shared" si="255"/>
        <v>3T3</v>
      </c>
      <c r="M1208" s="13" t="s">
        <v>3456</v>
      </c>
      <c r="N1208" s="7" t="s">
        <v>3458</v>
      </c>
      <c r="O1208" s="13" t="s">
        <v>3457</v>
      </c>
      <c r="P1208" s="115" t="s">
        <v>4124</v>
      </c>
      <c r="Q1208" s="8"/>
      <c r="R1208" s="2">
        <v>1</v>
      </c>
      <c r="S1208" s="9">
        <v>7000</v>
      </c>
      <c r="T1208" s="10">
        <f t="shared" si="263"/>
        <v>3500</v>
      </c>
      <c r="U1208" s="9">
        <v>0</v>
      </c>
      <c r="V1208" s="10">
        <f t="shared" si="264"/>
        <v>3500</v>
      </c>
      <c r="W1208" s="4" t="s">
        <v>122</v>
      </c>
      <c r="X1208" s="2"/>
      <c r="Y1208" s="11">
        <v>6</v>
      </c>
      <c r="Z1208" s="12">
        <f t="shared" si="256"/>
        <v>6</v>
      </c>
      <c r="AA1208" s="4" t="s">
        <v>4125</v>
      </c>
      <c r="AC1208" s="176">
        <f t="shared" si="271"/>
        <v>0</v>
      </c>
    </row>
    <row r="1209" spans="2:29">
      <c r="B1209" s="183">
        <f t="shared" si="257"/>
        <v>34</v>
      </c>
      <c r="C1209" s="107" t="str">
        <f t="shared" si="258"/>
        <v>ATK</v>
      </c>
      <c r="D1209" s="2" t="s">
        <v>3459</v>
      </c>
      <c r="E1209" s="3">
        <v>44061</v>
      </c>
      <c r="F1209" s="3">
        <v>44061</v>
      </c>
      <c r="G1209" s="108">
        <f t="shared" si="259"/>
        <v>8</v>
      </c>
      <c r="H1209" s="108" t="str">
        <f t="shared" si="260"/>
        <v>완료</v>
      </c>
      <c r="I1209" s="112" t="s">
        <v>218</v>
      </c>
      <c r="J1209" s="4" t="s">
        <v>121</v>
      </c>
      <c r="K1209" s="5" t="s">
        <v>136</v>
      </c>
      <c r="L1209" s="6" t="str">
        <f t="shared" si="255"/>
        <v>5T1</v>
      </c>
      <c r="M1209" s="13" t="s">
        <v>242</v>
      </c>
      <c r="N1209" s="7" t="s">
        <v>3460</v>
      </c>
      <c r="O1209" s="13" t="s">
        <v>3461</v>
      </c>
      <c r="P1209" s="115"/>
      <c r="Q1209" s="8"/>
      <c r="R1209" s="2">
        <v>1</v>
      </c>
      <c r="S1209" s="9">
        <v>300</v>
      </c>
      <c r="T1209" s="10">
        <f t="shared" si="263"/>
        <v>150</v>
      </c>
      <c r="U1209" s="9">
        <v>0</v>
      </c>
      <c r="V1209" s="10">
        <f t="shared" si="264"/>
        <v>150</v>
      </c>
      <c r="W1209" s="4" t="s">
        <v>122</v>
      </c>
      <c r="X1209" s="2"/>
      <c r="Y1209" s="11">
        <v>1</v>
      </c>
      <c r="Z1209" s="12">
        <f t="shared" si="256"/>
        <v>0</v>
      </c>
      <c r="AA1209" s="4" t="s">
        <v>117</v>
      </c>
      <c r="AC1209" s="176">
        <f t="shared" si="271"/>
        <v>0</v>
      </c>
    </row>
    <row r="1210" spans="2:29">
      <c r="B1210" s="183">
        <f t="shared" si="257"/>
        <v>34</v>
      </c>
      <c r="C1210" s="107" t="str">
        <f t="shared" si="258"/>
        <v>ATK</v>
      </c>
      <c r="D1210" s="2" t="s">
        <v>2944</v>
      </c>
      <c r="E1210" s="3">
        <v>44061</v>
      </c>
      <c r="F1210" s="3">
        <v>44061</v>
      </c>
      <c r="G1210" s="108">
        <f t="shared" si="259"/>
        <v>8</v>
      </c>
      <c r="H1210" s="108" t="str">
        <f t="shared" si="260"/>
        <v>완료</v>
      </c>
      <c r="I1210" s="112" t="s">
        <v>218</v>
      </c>
      <c r="J1210" s="4" t="s">
        <v>31</v>
      </c>
      <c r="K1210" s="5" t="s">
        <v>31</v>
      </c>
      <c r="L1210" s="6" t="str">
        <f t="shared" si="255"/>
        <v>Oth</v>
      </c>
      <c r="M1210" s="13" t="s">
        <v>2910</v>
      </c>
      <c r="N1210" s="7" t="s">
        <v>3462</v>
      </c>
      <c r="O1210" s="13" t="s">
        <v>3463</v>
      </c>
      <c r="P1210" s="115" t="s">
        <v>3464</v>
      </c>
      <c r="Q1210" s="8"/>
      <c r="R1210" s="2">
        <v>1</v>
      </c>
      <c r="S1210" s="9">
        <v>450</v>
      </c>
      <c r="T1210" s="10">
        <f t="shared" si="263"/>
        <v>225</v>
      </c>
      <c r="U1210" s="9">
        <v>1</v>
      </c>
      <c r="V1210" s="10">
        <f t="shared" si="264"/>
        <v>224</v>
      </c>
      <c r="W1210" s="4" t="s">
        <v>122</v>
      </c>
      <c r="X1210" s="2"/>
      <c r="Y1210" s="11">
        <v>1</v>
      </c>
      <c r="Z1210" s="12">
        <f t="shared" si="256"/>
        <v>0</v>
      </c>
      <c r="AA1210" s="4" t="s">
        <v>27</v>
      </c>
      <c r="AC1210" s="176">
        <f t="shared" si="271"/>
        <v>9.0909090909090909E-4</v>
      </c>
    </row>
    <row r="1211" spans="2:29">
      <c r="B1211" s="183">
        <f t="shared" si="257"/>
        <v>34</v>
      </c>
      <c r="C1211" s="107" t="str">
        <f t="shared" si="258"/>
        <v>ATK</v>
      </c>
      <c r="D1211" s="2" t="s">
        <v>244</v>
      </c>
      <c r="E1211" s="3">
        <v>44061</v>
      </c>
      <c r="F1211" s="3">
        <v>44061</v>
      </c>
      <c r="G1211" s="108">
        <f t="shared" si="259"/>
        <v>8</v>
      </c>
      <c r="H1211" s="108" t="str">
        <f t="shared" si="260"/>
        <v>완료</v>
      </c>
      <c r="I1211" s="112" t="s">
        <v>218</v>
      </c>
      <c r="J1211" s="4" t="s">
        <v>127</v>
      </c>
      <c r="K1211" s="5" t="s">
        <v>128</v>
      </c>
      <c r="L1211" s="6" t="str">
        <f t="shared" si="255"/>
        <v>1T1</v>
      </c>
      <c r="M1211" s="13" t="s">
        <v>3466</v>
      </c>
      <c r="N1211" s="7" t="s">
        <v>3467</v>
      </c>
      <c r="O1211" s="13" t="s">
        <v>3468</v>
      </c>
      <c r="P1211" s="115" t="s">
        <v>3469</v>
      </c>
      <c r="Q1211" s="8" t="s">
        <v>3470</v>
      </c>
      <c r="R1211" s="2">
        <v>1</v>
      </c>
      <c r="S1211" s="9">
        <v>3000</v>
      </c>
      <c r="T1211" s="10">
        <f t="shared" si="263"/>
        <v>1500</v>
      </c>
      <c r="U1211" s="9">
        <v>12</v>
      </c>
      <c r="V1211" s="10">
        <f t="shared" si="264"/>
        <v>1488</v>
      </c>
      <c r="W1211" s="4" t="s">
        <v>122</v>
      </c>
      <c r="X1211" s="2"/>
      <c r="Y1211" s="11">
        <v>2</v>
      </c>
      <c r="Z1211" s="12">
        <f t="shared" si="256"/>
        <v>0</v>
      </c>
      <c r="AA1211" s="4" t="s">
        <v>120</v>
      </c>
      <c r="AC1211" s="176">
        <f t="shared" si="271"/>
        <v>1.090909090909091E-2</v>
      </c>
    </row>
    <row r="1212" spans="2:29">
      <c r="B1212" s="183">
        <f t="shared" si="257"/>
        <v>34</v>
      </c>
      <c r="C1212" s="107" t="str">
        <f t="shared" si="258"/>
        <v>ATK</v>
      </c>
      <c r="D1212" s="2" t="s">
        <v>244</v>
      </c>
      <c r="E1212" s="3">
        <v>44061</v>
      </c>
      <c r="F1212" s="3">
        <v>44061</v>
      </c>
      <c r="G1212" s="108">
        <f t="shared" si="259"/>
        <v>8</v>
      </c>
      <c r="H1212" s="108" t="str">
        <f t="shared" si="260"/>
        <v>완료</v>
      </c>
      <c r="I1212" s="112" t="s">
        <v>218</v>
      </c>
      <c r="J1212" s="4" t="s">
        <v>127</v>
      </c>
      <c r="K1212" s="5" t="s">
        <v>128</v>
      </c>
      <c r="L1212" s="6" t="str">
        <f t="shared" si="255"/>
        <v>1T1</v>
      </c>
      <c r="M1212" s="13" t="s">
        <v>3465</v>
      </c>
      <c r="N1212" s="7" t="s">
        <v>3473</v>
      </c>
      <c r="O1212" s="13" t="s">
        <v>339</v>
      </c>
      <c r="P1212" s="115" t="s">
        <v>3472</v>
      </c>
      <c r="Q1212" s="8" t="s">
        <v>3471</v>
      </c>
      <c r="R1212" s="2">
        <v>1</v>
      </c>
      <c r="S1212" s="9">
        <v>2000</v>
      </c>
      <c r="T1212" s="10">
        <f t="shared" si="263"/>
        <v>1000</v>
      </c>
      <c r="U1212" s="9">
        <v>0</v>
      </c>
      <c r="V1212" s="10">
        <f t="shared" si="264"/>
        <v>1000</v>
      </c>
      <c r="W1212" s="4" t="s">
        <v>122</v>
      </c>
      <c r="X1212" s="2"/>
      <c r="Y1212" s="11">
        <v>2</v>
      </c>
      <c r="Z1212" s="12">
        <f t="shared" si="256"/>
        <v>0</v>
      </c>
      <c r="AA1212" s="4" t="s">
        <v>120</v>
      </c>
      <c r="AC1212" s="176">
        <f t="shared" si="271"/>
        <v>0</v>
      </c>
    </row>
    <row r="1213" spans="2:29">
      <c r="B1213" s="183">
        <f t="shared" si="257"/>
        <v>34</v>
      </c>
      <c r="C1213" s="107" t="str">
        <f t="shared" si="258"/>
        <v>ATK</v>
      </c>
      <c r="D1213" s="2" t="s">
        <v>1073</v>
      </c>
      <c r="E1213" s="3">
        <v>44061</v>
      </c>
      <c r="F1213" s="3">
        <v>44061</v>
      </c>
      <c r="G1213" s="108">
        <f t="shared" si="259"/>
        <v>8</v>
      </c>
      <c r="H1213" s="108" t="str">
        <f t="shared" si="260"/>
        <v>완료</v>
      </c>
      <c r="I1213" s="112" t="s">
        <v>218</v>
      </c>
      <c r="J1213" s="4" t="s">
        <v>139</v>
      </c>
      <c r="K1213" s="5" t="s">
        <v>177</v>
      </c>
      <c r="L1213" s="6" t="str">
        <f t="shared" si="255"/>
        <v>Bum</v>
      </c>
      <c r="M1213" s="13" t="s">
        <v>3474</v>
      </c>
      <c r="N1213" s="7" t="s">
        <v>3475</v>
      </c>
      <c r="O1213" s="13" t="s">
        <v>3476</v>
      </c>
      <c r="P1213" s="115" t="s">
        <v>3477</v>
      </c>
      <c r="Q1213" s="8"/>
      <c r="R1213" s="2">
        <v>1</v>
      </c>
      <c r="S1213" s="9">
        <v>6000</v>
      </c>
      <c r="T1213" s="10">
        <f t="shared" si="263"/>
        <v>3000</v>
      </c>
      <c r="U1213" s="9">
        <v>0</v>
      </c>
      <c r="V1213" s="10">
        <f t="shared" si="264"/>
        <v>3000</v>
      </c>
      <c r="W1213" s="4" t="s">
        <v>122</v>
      </c>
      <c r="X1213" s="2"/>
      <c r="Y1213" s="11">
        <v>2</v>
      </c>
      <c r="Z1213" s="12">
        <f t="shared" si="256"/>
        <v>0</v>
      </c>
      <c r="AA1213" s="4" t="s">
        <v>120</v>
      </c>
      <c r="AC1213" s="176">
        <f t="shared" si="271"/>
        <v>0</v>
      </c>
    </row>
    <row r="1214" spans="2:29">
      <c r="B1214" s="183">
        <f t="shared" si="257"/>
        <v>34</v>
      </c>
      <c r="C1214" s="107" t="str">
        <f t="shared" si="258"/>
        <v>ATK</v>
      </c>
      <c r="D1214" s="2" t="s">
        <v>250</v>
      </c>
      <c r="E1214" s="3">
        <v>44061</v>
      </c>
      <c r="F1214" s="3">
        <v>44061</v>
      </c>
      <c r="G1214" s="108">
        <f t="shared" si="259"/>
        <v>8</v>
      </c>
      <c r="H1214" s="108" t="str">
        <f t="shared" si="260"/>
        <v>Other</v>
      </c>
      <c r="I1214" s="112" t="s">
        <v>251</v>
      </c>
      <c r="J1214" s="4" t="s">
        <v>31</v>
      </c>
      <c r="K1214" s="5" t="s">
        <v>31</v>
      </c>
      <c r="L1214" s="6" t="str">
        <f t="shared" si="255"/>
        <v>Oth</v>
      </c>
      <c r="M1214" s="13" t="s">
        <v>2910</v>
      </c>
      <c r="N1214" s="7" t="s">
        <v>3462</v>
      </c>
      <c r="O1214" s="7" t="s">
        <v>3462</v>
      </c>
      <c r="P1214" s="115" t="s">
        <v>3299</v>
      </c>
      <c r="Q1214" s="8"/>
      <c r="R1214" s="2">
        <v>1</v>
      </c>
      <c r="S1214" s="9">
        <v>0</v>
      </c>
      <c r="T1214" s="10">
        <f t="shared" si="263"/>
        <v>0</v>
      </c>
      <c r="U1214" s="9">
        <v>0</v>
      </c>
      <c r="V1214" s="10">
        <f t="shared" si="264"/>
        <v>0</v>
      </c>
      <c r="W1214" s="4" t="s">
        <v>122</v>
      </c>
      <c r="X1214" s="2"/>
      <c r="Y1214" s="11">
        <v>3</v>
      </c>
      <c r="Z1214" s="12">
        <f t="shared" si="256"/>
        <v>0</v>
      </c>
      <c r="AA1214" s="4" t="s">
        <v>27</v>
      </c>
      <c r="AC1214" s="176">
        <f t="shared" si="271"/>
        <v>0</v>
      </c>
    </row>
    <row r="1215" spans="2:29">
      <c r="B1215" s="183">
        <f t="shared" si="257"/>
        <v>34</v>
      </c>
      <c r="C1215" s="107" t="str">
        <f t="shared" si="258"/>
        <v>ATK</v>
      </c>
      <c r="D1215" s="2" t="s">
        <v>250</v>
      </c>
      <c r="E1215" s="3">
        <v>44061</v>
      </c>
      <c r="F1215" s="3">
        <v>44061</v>
      </c>
      <c r="G1215" s="108">
        <f t="shared" si="259"/>
        <v>8</v>
      </c>
      <c r="H1215" s="108" t="str">
        <f t="shared" si="260"/>
        <v>Other</v>
      </c>
      <c r="I1215" s="112" t="s">
        <v>251</v>
      </c>
      <c r="J1215" s="4" t="s">
        <v>31</v>
      </c>
      <c r="K1215" s="5" t="s">
        <v>31</v>
      </c>
      <c r="L1215" s="6" t="str">
        <f t="shared" si="255"/>
        <v>Oth</v>
      </c>
      <c r="M1215" s="13" t="s">
        <v>2910</v>
      </c>
      <c r="N1215" s="7" t="s">
        <v>3462</v>
      </c>
      <c r="O1215" s="7" t="s">
        <v>3462</v>
      </c>
      <c r="P1215" s="115" t="s">
        <v>3481</v>
      </c>
      <c r="Q1215" s="8"/>
      <c r="R1215" s="2">
        <v>1</v>
      </c>
      <c r="S1215" s="9">
        <v>0</v>
      </c>
      <c r="T1215" s="10">
        <f t="shared" si="263"/>
        <v>0</v>
      </c>
      <c r="U1215" s="9">
        <v>0</v>
      </c>
      <c r="V1215" s="10">
        <f t="shared" si="264"/>
        <v>0</v>
      </c>
      <c r="W1215" s="4" t="s">
        <v>122</v>
      </c>
      <c r="X1215" s="2"/>
      <c r="Y1215" s="11">
        <v>5</v>
      </c>
      <c r="Z1215" s="12">
        <f t="shared" si="256"/>
        <v>0</v>
      </c>
      <c r="AA1215" s="4" t="s">
        <v>174</v>
      </c>
      <c r="AC1215" s="176">
        <f t="shared" si="271"/>
        <v>0</v>
      </c>
    </row>
    <row r="1216" spans="2:29">
      <c r="B1216" s="183">
        <f t="shared" si="257"/>
        <v>34</v>
      </c>
      <c r="C1216" s="107" t="str">
        <f t="shared" si="258"/>
        <v>ATK</v>
      </c>
      <c r="D1216" s="2" t="s">
        <v>295</v>
      </c>
      <c r="E1216" s="3">
        <v>44061</v>
      </c>
      <c r="F1216" s="3">
        <v>44061</v>
      </c>
      <c r="G1216" s="108">
        <f t="shared" si="259"/>
        <v>8</v>
      </c>
      <c r="H1216" s="108" t="str">
        <f t="shared" si="260"/>
        <v>완료</v>
      </c>
      <c r="I1216" s="112" t="s">
        <v>264</v>
      </c>
      <c r="J1216" s="4" t="s">
        <v>132</v>
      </c>
      <c r="K1216" s="5" t="s">
        <v>133</v>
      </c>
      <c r="L1216" s="6" t="str">
        <f t="shared" si="255"/>
        <v>3T3</v>
      </c>
      <c r="M1216" s="13" t="s">
        <v>1240</v>
      </c>
      <c r="N1216" s="7" t="s">
        <v>3479</v>
      </c>
      <c r="O1216" s="13" t="s">
        <v>3480</v>
      </c>
      <c r="P1216" s="115" t="s">
        <v>330</v>
      </c>
      <c r="Q1216" s="8"/>
      <c r="R1216" s="2">
        <v>1</v>
      </c>
      <c r="S1216" s="9">
        <v>6000</v>
      </c>
      <c r="T1216" s="10">
        <f t="shared" si="263"/>
        <v>3000</v>
      </c>
      <c r="U1216" s="9">
        <v>50</v>
      </c>
      <c r="V1216" s="10">
        <f t="shared" si="264"/>
        <v>2950</v>
      </c>
      <c r="W1216" s="4" t="s">
        <v>122</v>
      </c>
      <c r="X1216" s="2"/>
      <c r="Y1216" s="11">
        <v>6</v>
      </c>
      <c r="Z1216" s="12">
        <f t="shared" si="256"/>
        <v>0</v>
      </c>
      <c r="AA1216" s="4" t="s">
        <v>27</v>
      </c>
      <c r="AC1216" s="176">
        <f t="shared" si="271"/>
        <v>4.5454545454545456E-2</v>
      </c>
    </row>
    <row r="1217" spans="2:29">
      <c r="B1217" s="183">
        <f t="shared" si="257"/>
        <v>34</v>
      </c>
      <c r="C1217" s="107" t="str">
        <f t="shared" si="258"/>
        <v>ATK</v>
      </c>
      <c r="D1217" s="2" t="s">
        <v>932</v>
      </c>
      <c r="E1217" s="3">
        <v>44062</v>
      </c>
      <c r="F1217" s="3">
        <v>44062</v>
      </c>
      <c r="G1217" s="108">
        <f t="shared" si="259"/>
        <v>8</v>
      </c>
      <c r="H1217" s="108" t="str">
        <f t="shared" si="260"/>
        <v>완료</v>
      </c>
      <c r="I1217" s="112" t="s">
        <v>218</v>
      </c>
      <c r="J1217" s="4" t="s">
        <v>127</v>
      </c>
      <c r="K1217" s="5" t="s">
        <v>128</v>
      </c>
      <c r="L1217" s="6" t="str">
        <f t="shared" ref="L1217:L1280" si="272">LEFT(K1217,3)</f>
        <v>1T1</v>
      </c>
      <c r="M1217" s="13" t="s">
        <v>270</v>
      </c>
      <c r="N1217" s="7" t="s">
        <v>3958</v>
      </c>
      <c r="O1217" s="13" t="s">
        <v>270</v>
      </c>
      <c r="P1217" s="115" t="s">
        <v>3959</v>
      </c>
      <c r="Q1217" s="8"/>
      <c r="R1217" s="2">
        <v>1</v>
      </c>
      <c r="S1217" s="9">
        <v>1380</v>
      </c>
      <c r="T1217" s="10">
        <f t="shared" si="263"/>
        <v>690</v>
      </c>
      <c r="U1217" s="9">
        <v>0</v>
      </c>
      <c r="V1217" s="10">
        <f t="shared" si="264"/>
        <v>690</v>
      </c>
      <c r="W1217" s="4" t="s">
        <v>122</v>
      </c>
      <c r="X1217" s="2"/>
      <c r="Y1217" s="11">
        <v>2</v>
      </c>
      <c r="Z1217" s="12">
        <f t="shared" ref="Z1217:Z1280" si="273">F1217-E1217</f>
        <v>0</v>
      </c>
      <c r="AA1217" s="4" t="s">
        <v>120</v>
      </c>
      <c r="AC1217" s="176">
        <f t="shared" si="271"/>
        <v>0</v>
      </c>
    </row>
    <row r="1218" spans="2:29">
      <c r="B1218" s="183">
        <f t="shared" si="257"/>
        <v>34</v>
      </c>
      <c r="C1218" s="107" t="str">
        <f t="shared" si="258"/>
        <v>ATK</v>
      </c>
      <c r="D1218" s="2" t="s">
        <v>223</v>
      </c>
      <c r="E1218" s="3">
        <v>44061</v>
      </c>
      <c r="F1218" s="3">
        <v>44062</v>
      </c>
      <c r="G1218" s="108">
        <f t="shared" si="259"/>
        <v>8</v>
      </c>
      <c r="H1218" s="108" t="str">
        <f t="shared" si="260"/>
        <v>완료</v>
      </c>
      <c r="I1218" s="112" t="s">
        <v>218</v>
      </c>
      <c r="J1218" s="4" t="s">
        <v>121</v>
      </c>
      <c r="K1218" s="5" t="s">
        <v>136</v>
      </c>
      <c r="L1218" s="6" t="str">
        <f t="shared" si="272"/>
        <v>5T1</v>
      </c>
      <c r="M1218" s="13" t="s">
        <v>1773</v>
      </c>
      <c r="N1218" s="7" t="s">
        <v>3960</v>
      </c>
      <c r="O1218" s="13" t="s">
        <v>1155</v>
      </c>
      <c r="P1218" s="115" t="s">
        <v>1066</v>
      </c>
      <c r="Q1218" s="8"/>
      <c r="R1218" s="2">
        <v>1</v>
      </c>
      <c r="S1218" s="9">
        <v>1500</v>
      </c>
      <c r="T1218" s="10">
        <f t="shared" si="263"/>
        <v>750</v>
      </c>
      <c r="U1218" s="9">
        <v>0</v>
      </c>
      <c r="V1218" s="10">
        <f t="shared" si="264"/>
        <v>750</v>
      </c>
      <c r="W1218" s="4" t="s">
        <v>122</v>
      </c>
      <c r="X1218" s="2"/>
      <c r="Y1218" s="11">
        <v>3</v>
      </c>
      <c r="Z1218" s="12">
        <f t="shared" si="273"/>
        <v>1</v>
      </c>
      <c r="AA1218" s="4" t="s">
        <v>120</v>
      </c>
      <c r="AC1218" s="176">
        <f t="shared" si="271"/>
        <v>0</v>
      </c>
    </row>
    <row r="1219" spans="2:29">
      <c r="B1219" s="183">
        <f t="shared" ref="B1219:B1282" si="274">IF(F1219&gt;0,IFERROR(WEEKNUM(F1219),""),"")</f>
        <v>34</v>
      </c>
      <c r="C1219" s="107" t="str">
        <f t="shared" ref="C1219:C1282" si="275">IF(D1219=0,"",(IF(LEFT(D1219,3)="ATK","ATK",IF(LEFT(D1219,2)="AT",D1219,"ATK"))))</f>
        <v>ATK</v>
      </c>
      <c r="D1219" s="2" t="s">
        <v>3967</v>
      </c>
      <c r="E1219" s="3">
        <v>44062</v>
      </c>
      <c r="F1219" s="3">
        <v>44062</v>
      </c>
      <c r="G1219" s="108">
        <f t="shared" ref="G1219:G1282" si="276">IF(F1219&gt;0,MONTH(F1219),"")</f>
        <v>8</v>
      </c>
      <c r="H1219" s="108" t="str">
        <f t="shared" ref="H1219:H1282" si="277">IF(I1219=0,"",IF(RIGHT(I1219,2)="완료","완료",IF(RIGHT(I1219,2)="불가","수리불가",IF(RIGHT(I1219,1)="중","수리중","Other"))))</f>
        <v>완료</v>
      </c>
      <c r="I1219" s="112" t="s">
        <v>3961</v>
      </c>
      <c r="J1219" s="4" t="s">
        <v>2577</v>
      </c>
      <c r="K1219" s="5" t="s">
        <v>3965</v>
      </c>
      <c r="L1219" s="6" t="str">
        <f t="shared" si="272"/>
        <v>Bum</v>
      </c>
      <c r="M1219" s="13" t="s">
        <v>3966</v>
      </c>
      <c r="N1219" s="7" t="s">
        <v>3962</v>
      </c>
      <c r="O1219" s="13" t="s">
        <v>3275</v>
      </c>
      <c r="P1219" s="115" t="s">
        <v>3968</v>
      </c>
      <c r="Q1219" s="8"/>
      <c r="R1219" s="2">
        <v>1</v>
      </c>
      <c r="S1219" s="9">
        <v>2500</v>
      </c>
      <c r="T1219" s="10">
        <f t="shared" si="263"/>
        <v>1250</v>
      </c>
      <c r="U1219" s="9">
        <v>50</v>
      </c>
      <c r="V1219" s="10">
        <f t="shared" si="264"/>
        <v>1200</v>
      </c>
      <c r="W1219" s="4" t="s">
        <v>3963</v>
      </c>
      <c r="X1219" s="2"/>
      <c r="Y1219" s="11">
        <v>2</v>
      </c>
      <c r="Z1219" s="12">
        <f t="shared" si="273"/>
        <v>0</v>
      </c>
      <c r="AA1219" s="4" t="s">
        <v>3964</v>
      </c>
      <c r="AC1219" s="176">
        <f t="shared" si="271"/>
        <v>4.5454545454545456E-2</v>
      </c>
    </row>
    <row r="1220" spans="2:29">
      <c r="B1220" s="183">
        <f t="shared" si="274"/>
        <v>34</v>
      </c>
      <c r="C1220" s="107" t="str">
        <f t="shared" si="275"/>
        <v>ATK</v>
      </c>
      <c r="D1220" s="2" t="s">
        <v>3969</v>
      </c>
      <c r="E1220" s="3">
        <v>44061</v>
      </c>
      <c r="F1220" s="3">
        <v>44062</v>
      </c>
      <c r="G1220" s="108">
        <f t="shared" si="276"/>
        <v>8</v>
      </c>
      <c r="H1220" s="108" t="str">
        <f t="shared" si="277"/>
        <v>완료</v>
      </c>
      <c r="I1220" s="112" t="s">
        <v>218</v>
      </c>
      <c r="J1220" s="4" t="s">
        <v>748</v>
      </c>
      <c r="K1220" s="5" t="s">
        <v>177</v>
      </c>
      <c r="L1220" s="6" t="str">
        <f t="shared" si="272"/>
        <v>Bum</v>
      </c>
      <c r="M1220" s="13" t="s">
        <v>3970</v>
      </c>
      <c r="N1220" s="7" t="s">
        <v>3971</v>
      </c>
      <c r="O1220" s="13" t="s">
        <v>3972</v>
      </c>
      <c r="P1220" s="115" t="s">
        <v>3973</v>
      </c>
      <c r="Q1220" s="8"/>
      <c r="R1220" s="2">
        <v>1</v>
      </c>
      <c r="S1220" s="9">
        <v>25000</v>
      </c>
      <c r="T1220" s="10">
        <f t="shared" si="263"/>
        <v>12500</v>
      </c>
      <c r="U1220" s="9">
        <v>100</v>
      </c>
      <c r="V1220" s="10">
        <f t="shared" si="264"/>
        <v>12400</v>
      </c>
      <c r="W1220" s="4" t="s">
        <v>122</v>
      </c>
      <c r="X1220" s="2"/>
      <c r="Y1220" s="11">
        <v>8</v>
      </c>
      <c r="Z1220" s="12">
        <f t="shared" si="273"/>
        <v>1</v>
      </c>
      <c r="AA1220" s="4" t="s">
        <v>259</v>
      </c>
      <c r="AC1220" s="176">
        <f t="shared" si="271"/>
        <v>9.0909090909090912E-2</v>
      </c>
    </row>
    <row r="1221" spans="2:29">
      <c r="B1221" s="183">
        <f t="shared" si="274"/>
        <v>35</v>
      </c>
      <c r="C1221" s="107" t="str">
        <f t="shared" si="275"/>
        <v>ATK</v>
      </c>
      <c r="D1221" s="2" t="s">
        <v>664</v>
      </c>
      <c r="E1221" s="3">
        <v>44063</v>
      </c>
      <c r="F1221" s="3">
        <v>44071</v>
      </c>
      <c r="G1221" s="108">
        <f t="shared" si="276"/>
        <v>8</v>
      </c>
      <c r="H1221" s="108" t="str">
        <f t="shared" si="277"/>
        <v>완료</v>
      </c>
      <c r="I1221" s="112" t="s">
        <v>514</v>
      </c>
      <c r="J1221" s="4" t="s">
        <v>808</v>
      </c>
      <c r="K1221" s="5" t="s">
        <v>833</v>
      </c>
      <c r="L1221" s="6" t="str">
        <f t="shared" si="272"/>
        <v>1T3</v>
      </c>
      <c r="M1221" s="13" t="s">
        <v>1580</v>
      </c>
      <c r="N1221" s="7" t="s">
        <v>3410</v>
      </c>
      <c r="O1221" s="13" t="s">
        <v>3974</v>
      </c>
      <c r="P1221" s="115"/>
      <c r="Q1221" s="8" t="s">
        <v>3975</v>
      </c>
      <c r="R1221" s="2">
        <v>1</v>
      </c>
      <c r="S1221" s="9">
        <v>25000</v>
      </c>
      <c r="T1221" s="10">
        <f t="shared" ref="T1221:T1222" si="278">(S1221*50)/100*R1221</f>
        <v>12500</v>
      </c>
      <c r="U1221" s="9">
        <v>2480</v>
      </c>
      <c r="V1221" s="10">
        <f t="shared" ref="V1221:V1222" si="279">T1221-U1221</f>
        <v>10020</v>
      </c>
      <c r="W1221" s="4" t="s">
        <v>326</v>
      </c>
      <c r="X1221" s="2" t="s">
        <v>29</v>
      </c>
      <c r="Y1221" s="11">
        <v>1</v>
      </c>
      <c r="Z1221" s="12">
        <f t="shared" si="273"/>
        <v>8</v>
      </c>
      <c r="AA1221" s="4" t="s">
        <v>117</v>
      </c>
      <c r="AC1221" s="176">
        <f t="shared" si="271"/>
        <v>2.2545454545454544</v>
      </c>
    </row>
    <row r="1222" spans="2:29">
      <c r="B1222" s="183">
        <f t="shared" si="274"/>
        <v>35</v>
      </c>
      <c r="C1222" s="107" t="str">
        <f t="shared" si="275"/>
        <v>ATK</v>
      </c>
      <c r="D1222" s="2" t="s">
        <v>664</v>
      </c>
      <c r="E1222" s="3">
        <v>44063</v>
      </c>
      <c r="F1222" s="3">
        <v>44071</v>
      </c>
      <c r="G1222" s="108">
        <f t="shared" si="276"/>
        <v>8</v>
      </c>
      <c r="H1222" s="108" t="str">
        <f t="shared" si="277"/>
        <v>수리불가</v>
      </c>
      <c r="I1222" s="112" t="s">
        <v>670</v>
      </c>
      <c r="J1222" s="4" t="s">
        <v>808</v>
      </c>
      <c r="K1222" s="5" t="s">
        <v>833</v>
      </c>
      <c r="L1222" s="6" t="str">
        <f t="shared" si="272"/>
        <v>1T3</v>
      </c>
      <c r="M1222" s="13" t="s">
        <v>1580</v>
      </c>
      <c r="N1222" s="7" t="s">
        <v>3410</v>
      </c>
      <c r="O1222" s="13" t="s">
        <v>3974</v>
      </c>
      <c r="P1222" s="115"/>
      <c r="Q1222" s="8" t="s">
        <v>3976</v>
      </c>
      <c r="R1222" s="2">
        <v>1</v>
      </c>
      <c r="S1222" s="9">
        <v>25000</v>
      </c>
      <c r="T1222" s="10">
        <f t="shared" si="278"/>
        <v>12500</v>
      </c>
      <c r="U1222" s="9">
        <v>0</v>
      </c>
      <c r="V1222" s="10">
        <f t="shared" si="279"/>
        <v>12500</v>
      </c>
      <c r="W1222" s="4" t="s">
        <v>326</v>
      </c>
      <c r="X1222" s="2" t="s">
        <v>29</v>
      </c>
      <c r="Y1222" s="11">
        <v>1</v>
      </c>
      <c r="Z1222" s="12">
        <f t="shared" si="273"/>
        <v>8</v>
      </c>
      <c r="AA1222" s="4" t="s">
        <v>117</v>
      </c>
      <c r="AC1222" s="176">
        <f t="shared" si="271"/>
        <v>0</v>
      </c>
    </row>
    <row r="1223" spans="2:29">
      <c r="B1223" s="183">
        <f t="shared" si="274"/>
        <v>37</v>
      </c>
      <c r="C1223" s="107" t="str">
        <f t="shared" si="275"/>
        <v>ATK</v>
      </c>
      <c r="D1223" s="2" t="s">
        <v>463</v>
      </c>
      <c r="E1223" s="3">
        <v>44062</v>
      </c>
      <c r="F1223" s="3">
        <v>44081</v>
      </c>
      <c r="G1223" s="108">
        <f t="shared" si="276"/>
        <v>9</v>
      </c>
      <c r="H1223" s="108" t="str">
        <f t="shared" si="277"/>
        <v>완료</v>
      </c>
      <c r="I1223" s="112" t="s">
        <v>218</v>
      </c>
      <c r="J1223" s="4" t="s">
        <v>121</v>
      </c>
      <c r="K1223" s="5" t="s">
        <v>136</v>
      </c>
      <c r="L1223" s="6" t="str">
        <f t="shared" si="272"/>
        <v>5T1</v>
      </c>
      <c r="M1223" s="13" t="s">
        <v>242</v>
      </c>
      <c r="N1223" s="7" t="s">
        <v>1374</v>
      </c>
      <c r="O1223" s="13" t="s">
        <v>3977</v>
      </c>
      <c r="P1223" s="115" t="s">
        <v>3978</v>
      </c>
      <c r="Q1223" s="8"/>
      <c r="R1223" s="2">
        <v>1</v>
      </c>
      <c r="S1223" s="9">
        <v>7000</v>
      </c>
      <c r="T1223" s="10">
        <f t="shared" si="263"/>
        <v>3500</v>
      </c>
      <c r="U1223" s="9">
        <v>2000</v>
      </c>
      <c r="V1223" s="10">
        <f t="shared" si="264"/>
        <v>1500</v>
      </c>
      <c r="W1223" s="4" t="s">
        <v>249</v>
      </c>
      <c r="X1223" s="2"/>
      <c r="Y1223" s="11">
        <v>4</v>
      </c>
      <c r="Z1223" s="12">
        <f t="shared" si="273"/>
        <v>19</v>
      </c>
      <c r="AA1223" s="4" t="s">
        <v>117</v>
      </c>
      <c r="AC1223" s="176">
        <f t="shared" si="271"/>
        <v>1.8181818181818181</v>
      </c>
    </row>
    <row r="1224" spans="2:29">
      <c r="B1224" s="183">
        <f t="shared" si="274"/>
        <v>34</v>
      </c>
      <c r="C1224" s="107" t="str">
        <f t="shared" si="275"/>
        <v>ATK</v>
      </c>
      <c r="D1224" s="2" t="s">
        <v>5410</v>
      </c>
      <c r="E1224" s="3">
        <v>44062</v>
      </c>
      <c r="F1224" s="3">
        <v>44063</v>
      </c>
      <c r="G1224" s="108">
        <f t="shared" si="276"/>
        <v>8</v>
      </c>
      <c r="H1224" s="108" t="str">
        <f t="shared" si="277"/>
        <v>완료</v>
      </c>
      <c r="I1224" s="112" t="s">
        <v>3979</v>
      </c>
      <c r="J1224" s="4" t="s">
        <v>3980</v>
      </c>
      <c r="K1224" s="5" t="s">
        <v>3981</v>
      </c>
      <c r="L1224" s="6" t="str">
        <f t="shared" si="272"/>
        <v>3T3</v>
      </c>
      <c r="M1224" s="13" t="s">
        <v>3982</v>
      </c>
      <c r="N1224" s="7" t="s">
        <v>3987</v>
      </c>
      <c r="O1224" s="13" t="s">
        <v>3983</v>
      </c>
      <c r="P1224" s="115" t="s">
        <v>3984</v>
      </c>
      <c r="Q1224" s="8"/>
      <c r="R1224" s="2">
        <v>1</v>
      </c>
      <c r="S1224" s="9">
        <v>1200</v>
      </c>
      <c r="T1224" s="10">
        <f t="shared" ref="T1224:T1229" si="280">(S1224*50)/100*R1224</f>
        <v>600</v>
      </c>
      <c r="U1224" s="9">
        <v>25</v>
      </c>
      <c r="V1224" s="10">
        <f t="shared" ref="V1224:V1229" si="281">T1224-U1224</f>
        <v>575</v>
      </c>
      <c r="W1224" s="4" t="s">
        <v>3985</v>
      </c>
      <c r="X1224" s="2"/>
      <c r="Y1224" s="11">
        <v>4</v>
      </c>
      <c r="Z1224" s="12">
        <f t="shared" si="273"/>
        <v>1</v>
      </c>
      <c r="AA1224" s="4" t="s">
        <v>3986</v>
      </c>
      <c r="AC1224" s="176">
        <f t="shared" si="271"/>
        <v>2.2727272727272728E-2</v>
      </c>
    </row>
    <row r="1225" spans="2:29">
      <c r="B1225" s="183">
        <f t="shared" si="274"/>
        <v>34</v>
      </c>
      <c r="C1225" s="107" t="str">
        <f t="shared" si="275"/>
        <v>ATK</v>
      </c>
      <c r="D1225" s="2" t="s">
        <v>3988</v>
      </c>
      <c r="E1225" s="3">
        <v>44062</v>
      </c>
      <c r="F1225" s="3">
        <v>44063</v>
      </c>
      <c r="G1225" s="108">
        <f t="shared" si="276"/>
        <v>8</v>
      </c>
      <c r="H1225" s="108" t="str">
        <f t="shared" si="277"/>
        <v>완료</v>
      </c>
      <c r="I1225" s="112" t="s">
        <v>218</v>
      </c>
      <c r="J1225" s="4" t="s">
        <v>118</v>
      </c>
      <c r="K1225" s="5" t="s">
        <v>134</v>
      </c>
      <c r="L1225" s="6" t="str">
        <f t="shared" si="272"/>
        <v>2T1</v>
      </c>
      <c r="M1225" s="13" t="s">
        <v>3989</v>
      </c>
      <c r="N1225" s="7" t="s">
        <v>3990</v>
      </c>
      <c r="O1225" s="13" t="s">
        <v>3991</v>
      </c>
      <c r="P1225" s="115" t="s">
        <v>3992</v>
      </c>
      <c r="Q1225" s="8"/>
      <c r="R1225" s="2">
        <v>1</v>
      </c>
      <c r="S1225" s="9">
        <v>30000</v>
      </c>
      <c r="T1225" s="10">
        <f t="shared" si="280"/>
        <v>15000</v>
      </c>
      <c r="U1225" s="9">
        <v>2</v>
      </c>
      <c r="V1225" s="10">
        <f t="shared" si="281"/>
        <v>14998</v>
      </c>
      <c r="W1225" s="4" t="s">
        <v>122</v>
      </c>
      <c r="X1225" s="2"/>
      <c r="Y1225" s="11">
        <v>3</v>
      </c>
      <c r="Z1225" s="12">
        <f t="shared" si="273"/>
        <v>1</v>
      </c>
      <c r="AA1225" s="4" t="s">
        <v>117</v>
      </c>
      <c r="AC1225" s="176">
        <f t="shared" si="271"/>
        <v>1.8181818181818182E-3</v>
      </c>
    </row>
    <row r="1226" spans="2:29">
      <c r="B1226" s="183">
        <f t="shared" si="274"/>
        <v>34</v>
      </c>
      <c r="C1226" s="107" t="str">
        <f t="shared" si="275"/>
        <v>ATK</v>
      </c>
      <c r="D1226" s="2" t="s">
        <v>3993</v>
      </c>
      <c r="E1226" s="3">
        <v>44063</v>
      </c>
      <c r="F1226" s="3">
        <v>44063</v>
      </c>
      <c r="G1226" s="108">
        <f t="shared" si="276"/>
        <v>8</v>
      </c>
      <c r="H1226" s="108" t="str">
        <f t="shared" si="277"/>
        <v>완료</v>
      </c>
      <c r="I1226" s="112" t="s">
        <v>218</v>
      </c>
      <c r="J1226" s="4" t="s">
        <v>132</v>
      </c>
      <c r="K1226" s="5" t="s">
        <v>143</v>
      </c>
      <c r="L1226" s="6" t="str">
        <f t="shared" si="272"/>
        <v>3T4</v>
      </c>
      <c r="M1226" s="13" t="s">
        <v>3994</v>
      </c>
      <c r="N1226" s="7" t="s">
        <v>3995</v>
      </c>
      <c r="O1226" s="13" t="s">
        <v>3996</v>
      </c>
      <c r="P1226" s="115" t="s">
        <v>3997</v>
      </c>
      <c r="Q1226" s="8"/>
      <c r="R1226" s="2">
        <v>1</v>
      </c>
      <c r="S1226" s="9">
        <v>1500</v>
      </c>
      <c r="T1226" s="10">
        <f t="shared" si="280"/>
        <v>750</v>
      </c>
      <c r="U1226" s="9">
        <v>5</v>
      </c>
      <c r="V1226" s="10">
        <f t="shared" si="281"/>
        <v>745</v>
      </c>
      <c r="W1226" s="4" t="s">
        <v>122</v>
      </c>
      <c r="X1226" s="2"/>
      <c r="Y1226" s="11">
        <v>4</v>
      </c>
      <c r="Z1226" s="12">
        <f t="shared" si="273"/>
        <v>0</v>
      </c>
      <c r="AA1226" s="4" t="s">
        <v>259</v>
      </c>
      <c r="AC1226" s="176">
        <f t="shared" si="271"/>
        <v>4.5454545454545452E-3</v>
      </c>
    </row>
    <row r="1227" spans="2:29">
      <c r="B1227" s="183">
        <f t="shared" si="274"/>
        <v>34</v>
      </c>
      <c r="C1227" s="107" t="str">
        <f t="shared" si="275"/>
        <v>ATK</v>
      </c>
      <c r="D1227" s="2" t="s">
        <v>3998</v>
      </c>
      <c r="E1227" s="3">
        <v>44062</v>
      </c>
      <c r="F1227" s="3">
        <v>44063</v>
      </c>
      <c r="G1227" s="108">
        <f t="shared" si="276"/>
        <v>8</v>
      </c>
      <c r="H1227" s="108" t="str">
        <f t="shared" si="277"/>
        <v>완료</v>
      </c>
      <c r="I1227" s="112" t="s">
        <v>264</v>
      </c>
      <c r="J1227" s="4" t="s">
        <v>3999</v>
      </c>
      <c r="K1227" s="5" t="s">
        <v>4000</v>
      </c>
      <c r="L1227" s="6" t="str">
        <f t="shared" si="272"/>
        <v>3T4</v>
      </c>
      <c r="M1227" s="13" t="s">
        <v>4001</v>
      </c>
      <c r="N1227" s="7" t="s">
        <v>4002</v>
      </c>
      <c r="O1227" s="13" t="s">
        <v>4003</v>
      </c>
      <c r="P1227" s="115" t="s">
        <v>4004</v>
      </c>
      <c r="Q1227" s="8"/>
      <c r="R1227" s="2">
        <v>1</v>
      </c>
      <c r="S1227" s="9">
        <v>3000</v>
      </c>
      <c r="T1227" s="10">
        <f t="shared" si="280"/>
        <v>1500</v>
      </c>
      <c r="U1227" s="9">
        <v>5</v>
      </c>
      <c r="V1227" s="10">
        <f t="shared" si="281"/>
        <v>1495</v>
      </c>
      <c r="W1227" s="4" t="s">
        <v>4005</v>
      </c>
      <c r="X1227" s="2"/>
      <c r="Y1227" s="11">
        <v>3</v>
      </c>
      <c r="Z1227" s="12">
        <f t="shared" si="273"/>
        <v>1</v>
      </c>
      <c r="AA1227" s="4" t="s">
        <v>4006</v>
      </c>
      <c r="AC1227" s="176">
        <f t="shared" si="271"/>
        <v>4.5454545454545452E-3</v>
      </c>
    </row>
    <row r="1228" spans="2:29">
      <c r="B1228" s="183">
        <f t="shared" si="274"/>
        <v>34</v>
      </c>
      <c r="C1228" s="107" t="str">
        <f t="shared" si="275"/>
        <v>ATK</v>
      </c>
      <c r="D1228" s="2" t="s">
        <v>174</v>
      </c>
      <c r="E1228" s="3">
        <v>44053</v>
      </c>
      <c r="F1228" s="3">
        <v>44063</v>
      </c>
      <c r="G1228" s="108">
        <f t="shared" si="276"/>
        <v>8</v>
      </c>
      <c r="H1228" s="108" t="str">
        <f t="shared" si="277"/>
        <v>완료</v>
      </c>
      <c r="I1228" s="112" t="s">
        <v>218</v>
      </c>
      <c r="J1228" s="4" t="s">
        <v>132</v>
      </c>
      <c r="K1228" s="5" t="s">
        <v>138</v>
      </c>
      <c r="L1228" s="6" t="str">
        <f t="shared" si="272"/>
        <v>EE1</v>
      </c>
      <c r="M1228" s="13" t="s">
        <v>3014</v>
      </c>
      <c r="N1228" s="7" t="s">
        <v>4007</v>
      </c>
      <c r="O1228" s="13" t="s">
        <v>543</v>
      </c>
      <c r="P1228" s="115" t="s">
        <v>4008</v>
      </c>
      <c r="Q1228" s="8" t="s">
        <v>4009</v>
      </c>
      <c r="R1228" s="2">
        <v>1</v>
      </c>
      <c r="S1228" s="9">
        <v>4000</v>
      </c>
      <c r="T1228" s="10">
        <f t="shared" si="280"/>
        <v>2000</v>
      </c>
      <c r="U1228" s="9">
        <v>2</v>
      </c>
      <c r="V1228" s="10">
        <f t="shared" si="281"/>
        <v>1998</v>
      </c>
      <c r="W1228" s="4" t="s">
        <v>122</v>
      </c>
      <c r="X1228" s="2"/>
      <c r="Y1228" s="11">
        <v>4</v>
      </c>
      <c r="Z1228" s="12">
        <f t="shared" si="273"/>
        <v>10</v>
      </c>
      <c r="AA1228" s="4" t="s">
        <v>120</v>
      </c>
      <c r="AC1228" s="176">
        <f t="shared" si="271"/>
        <v>1.8181818181818182E-3</v>
      </c>
    </row>
    <row r="1229" spans="2:29">
      <c r="B1229" s="183">
        <f t="shared" si="274"/>
        <v>34</v>
      </c>
      <c r="C1229" s="107" t="str">
        <f t="shared" si="275"/>
        <v>ATK</v>
      </c>
      <c r="D1229" s="2" t="s">
        <v>44</v>
      </c>
      <c r="E1229" s="3">
        <v>44063</v>
      </c>
      <c r="F1229" s="3">
        <v>44063</v>
      </c>
      <c r="G1229" s="108">
        <f t="shared" si="276"/>
        <v>8</v>
      </c>
      <c r="H1229" s="108" t="str">
        <f t="shared" si="277"/>
        <v>완료</v>
      </c>
      <c r="I1229" s="112" t="s">
        <v>218</v>
      </c>
      <c r="J1229" s="4"/>
      <c r="K1229" s="5"/>
      <c r="L1229" s="6" t="str">
        <f t="shared" si="272"/>
        <v/>
      </c>
      <c r="M1229" s="13" t="s">
        <v>4010</v>
      </c>
      <c r="N1229" s="7" t="s">
        <v>4011</v>
      </c>
      <c r="O1229" s="13" t="s">
        <v>543</v>
      </c>
      <c r="P1229" s="115" t="s">
        <v>4012</v>
      </c>
      <c r="Q1229" s="8" t="s">
        <v>4013</v>
      </c>
      <c r="R1229" s="2">
        <v>1</v>
      </c>
      <c r="S1229" s="9">
        <v>2000</v>
      </c>
      <c r="T1229" s="10">
        <f t="shared" si="280"/>
        <v>1000</v>
      </c>
      <c r="U1229" s="9">
        <v>0</v>
      </c>
      <c r="V1229" s="10">
        <f t="shared" si="281"/>
        <v>1000</v>
      </c>
      <c r="W1229" s="4" t="s">
        <v>122</v>
      </c>
      <c r="X1229" s="2"/>
      <c r="Y1229" s="11">
        <v>2</v>
      </c>
      <c r="Z1229" s="12">
        <f t="shared" si="273"/>
        <v>0</v>
      </c>
      <c r="AA1229" s="4" t="s">
        <v>120</v>
      </c>
      <c r="AC1229" s="176">
        <f t="shared" si="271"/>
        <v>0</v>
      </c>
    </row>
    <row r="1230" spans="2:29">
      <c r="B1230" s="183">
        <f t="shared" si="274"/>
        <v>34</v>
      </c>
      <c r="C1230" s="107" t="str">
        <f t="shared" si="275"/>
        <v>ATK</v>
      </c>
      <c r="D1230" s="2" t="s">
        <v>4018</v>
      </c>
      <c r="E1230" s="3">
        <v>44063</v>
      </c>
      <c r="F1230" s="3">
        <v>44064</v>
      </c>
      <c r="G1230" s="108">
        <f t="shared" si="276"/>
        <v>8</v>
      </c>
      <c r="H1230" s="108" t="str">
        <f t="shared" si="277"/>
        <v>완료</v>
      </c>
      <c r="I1230" s="112" t="s">
        <v>218</v>
      </c>
      <c r="J1230" s="4" t="s">
        <v>132</v>
      </c>
      <c r="K1230" s="5" t="s">
        <v>322</v>
      </c>
      <c r="L1230" s="6" t="str">
        <f t="shared" si="272"/>
        <v>3T1</v>
      </c>
      <c r="M1230" s="13" t="s">
        <v>4014</v>
      </c>
      <c r="N1230" s="7" t="s">
        <v>4015</v>
      </c>
      <c r="O1230" s="13" t="s">
        <v>4016</v>
      </c>
      <c r="P1230" s="115" t="s">
        <v>4017</v>
      </c>
      <c r="Q1230" s="8"/>
      <c r="R1230" s="2">
        <v>1</v>
      </c>
      <c r="S1230" s="9">
        <v>500</v>
      </c>
      <c r="T1230" s="10">
        <f t="shared" ref="T1230:T1290" si="282">(S1230*50)/100*R1230</f>
        <v>250</v>
      </c>
      <c r="U1230" s="9">
        <v>10</v>
      </c>
      <c r="V1230" s="10">
        <f t="shared" ref="V1230:V1290" si="283">T1230-U1230</f>
        <v>240</v>
      </c>
      <c r="W1230" s="4" t="s">
        <v>122</v>
      </c>
      <c r="X1230" s="2"/>
      <c r="Y1230" s="11">
        <v>4</v>
      </c>
      <c r="Z1230" s="12">
        <f t="shared" si="273"/>
        <v>1</v>
      </c>
      <c r="AA1230" s="4" t="s">
        <v>212</v>
      </c>
      <c r="AC1230" s="176">
        <f t="shared" si="271"/>
        <v>9.0909090909090905E-3</v>
      </c>
    </row>
    <row r="1231" spans="2:29">
      <c r="B1231" s="183">
        <f t="shared" si="274"/>
        <v>34</v>
      </c>
      <c r="C1231" s="107" t="str">
        <f t="shared" si="275"/>
        <v>ATK</v>
      </c>
      <c r="D1231" s="2" t="s">
        <v>236</v>
      </c>
      <c r="E1231" s="3">
        <v>44064</v>
      </c>
      <c r="F1231" s="3">
        <v>44064</v>
      </c>
      <c r="G1231" s="108">
        <f t="shared" si="276"/>
        <v>8</v>
      </c>
      <c r="H1231" s="108" t="str">
        <f t="shared" si="277"/>
        <v>완료</v>
      </c>
      <c r="I1231" s="112" t="s">
        <v>218</v>
      </c>
      <c r="J1231" s="4" t="s">
        <v>4019</v>
      </c>
      <c r="K1231" s="5" t="s">
        <v>119</v>
      </c>
      <c r="L1231" s="6" t="str">
        <f t="shared" si="272"/>
        <v>2T3</v>
      </c>
      <c r="M1231" s="13" t="s">
        <v>4020</v>
      </c>
      <c r="N1231" s="7" t="s">
        <v>4021</v>
      </c>
      <c r="O1231" s="13" t="s">
        <v>537</v>
      </c>
      <c r="P1231" s="115" t="s">
        <v>4022</v>
      </c>
      <c r="Q1231" s="8"/>
      <c r="R1231" s="2">
        <v>1</v>
      </c>
      <c r="S1231" s="9">
        <v>1500</v>
      </c>
      <c r="T1231" s="10">
        <f t="shared" si="282"/>
        <v>750</v>
      </c>
      <c r="U1231" s="9">
        <v>0</v>
      </c>
      <c r="V1231" s="10">
        <f t="shared" si="283"/>
        <v>750</v>
      </c>
      <c r="W1231" s="4" t="s">
        <v>122</v>
      </c>
      <c r="X1231" s="2"/>
      <c r="Y1231" s="11">
        <v>2</v>
      </c>
      <c r="Z1231" s="12">
        <f t="shared" si="273"/>
        <v>0</v>
      </c>
      <c r="AA1231" s="4" t="s">
        <v>212</v>
      </c>
      <c r="AC1231" s="176">
        <f t="shared" si="271"/>
        <v>0</v>
      </c>
    </row>
    <row r="1232" spans="2:29">
      <c r="B1232" s="183">
        <f t="shared" si="274"/>
        <v>34</v>
      </c>
      <c r="C1232" s="107" t="str">
        <f t="shared" si="275"/>
        <v>ATK</v>
      </c>
      <c r="D1232" s="2" t="s">
        <v>4023</v>
      </c>
      <c r="E1232" s="3">
        <v>44062</v>
      </c>
      <c r="F1232" s="3">
        <v>44064</v>
      </c>
      <c r="G1232" s="108">
        <f t="shared" si="276"/>
        <v>8</v>
      </c>
      <c r="H1232" s="108" t="str">
        <f t="shared" si="277"/>
        <v>완료</v>
      </c>
      <c r="I1232" s="112" t="s">
        <v>218</v>
      </c>
      <c r="J1232" s="4" t="s">
        <v>127</v>
      </c>
      <c r="K1232" s="5" t="s">
        <v>209</v>
      </c>
      <c r="L1232" s="6" t="str">
        <f t="shared" si="272"/>
        <v>1T2</v>
      </c>
      <c r="M1232" s="13" t="s">
        <v>4024</v>
      </c>
      <c r="N1232" s="7"/>
      <c r="O1232" s="13" t="s">
        <v>4025</v>
      </c>
      <c r="P1232" s="115"/>
      <c r="Q1232" s="8"/>
      <c r="R1232" s="2">
        <v>1</v>
      </c>
      <c r="S1232" s="9">
        <v>3400</v>
      </c>
      <c r="T1232" s="10">
        <f t="shared" si="282"/>
        <v>1700</v>
      </c>
      <c r="U1232" s="9">
        <v>60</v>
      </c>
      <c r="V1232" s="10">
        <f t="shared" si="283"/>
        <v>1640</v>
      </c>
      <c r="W1232" s="4" t="s">
        <v>122</v>
      </c>
      <c r="X1232" s="2"/>
      <c r="Y1232" s="11">
        <v>6</v>
      </c>
      <c r="Z1232" s="12">
        <f t="shared" si="273"/>
        <v>2</v>
      </c>
      <c r="AA1232" s="4" t="s">
        <v>117</v>
      </c>
      <c r="AC1232" s="176">
        <f t="shared" si="271"/>
        <v>5.4545454545454543E-2</v>
      </c>
    </row>
    <row r="1233" spans="2:29">
      <c r="B1233" s="183">
        <f t="shared" si="274"/>
        <v>39</v>
      </c>
      <c r="C1233" s="107" t="str">
        <f t="shared" si="275"/>
        <v>ATK</v>
      </c>
      <c r="D1233" s="2" t="s">
        <v>4026</v>
      </c>
      <c r="E1233" s="3">
        <v>44063</v>
      </c>
      <c r="F1233" s="3">
        <v>44095</v>
      </c>
      <c r="G1233" s="108">
        <f t="shared" si="276"/>
        <v>9</v>
      </c>
      <c r="H1233" s="108" t="str">
        <f t="shared" si="277"/>
        <v>수리불가</v>
      </c>
      <c r="I1233" s="112" t="s">
        <v>601</v>
      </c>
      <c r="J1233" s="4" t="s">
        <v>243</v>
      </c>
      <c r="K1233" s="5" t="s">
        <v>243</v>
      </c>
      <c r="L1233" s="6" t="str">
        <f t="shared" si="272"/>
        <v>K5</v>
      </c>
      <c r="M1233" s="13" t="s">
        <v>3970</v>
      </c>
      <c r="N1233" s="7"/>
      <c r="O1233" s="13" t="s">
        <v>4027</v>
      </c>
      <c r="P1233" s="115" t="s">
        <v>4028</v>
      </c>
      <c r="Q1233" s="8"/>
      <c r="R1233" s="2">
        <v>1</v>
      </c>
      <c r="S1233" s="9">
        <v>25000</v>
      </c>
      <c r="T1233" s="10">
        <f t="shared" si="282"/>
        <v>12500</v>
      </c>
      <c r="U1233" s="9">
        <v>0</v>
      </c>
      <c r="V1233" s="10">
        <f t="shared" si="283"/>
        <v>12500</v>
      </c>
      <c r="W1233" s="4" t="s">
        <v>122</v>
      </c>
      <c r="X1233" s="2"/>
      <c r="Y1233" s="11">
        <v>12</v>
      </c>
      <c r="Z1233" s="12">
        <f t="shared" si="273"/>
        <v>32</v>
      </c>
      <c r="AA1233" s="4" t="s">
        <v>117</v>
      </c>
      <c r="AC1233" s="176">
        <f t="shared" si="271"/>
        <v>0</v>
      </c>
    </row>
    <row r="1234" spans="2:29">
      <c r="B1234" s="183">
        <f t="shared" si="274"/>
        <v>49</v>
      </c>
      <c r="C1234" s="107" t="str">
        <f t="shared" si="275"/>
        <v>ATK</v>
      </c>
      <c r="D1234" s="2" t="s">
        <v>4029</v>
      </c>
      <c r="E1234" s="3">
        <v>44064</v>
      </c>
      <c r="F1234" s="3">
        <v>44167</v>
      </c>
      <c r="G1234" s="108">
        <f t="shared" si="276"/>
        <v>12</v>
      </c>
      <c r="H1234" s="108" t="str">
        <f t="shared" si="277"/>
        <v>완료</v>
      </c>
      <c r="I1234" s="112" t="s">
        <v>218</v>
      </c>
      <c r="J1234" s="4" t="s">
        <v>115</v>
      </c>
      <c r="K1234" s="5" t="s">
        <v>116</v>
      </c>
      <c r="L1234" s="6" t="str">
        <f t="shared" si="272"/>
        <v>EE2</v>
      </c>
      <c r="M1234" s="13" t="s">
        <v>1672</v>
      </c>
      <c r="N1234" s="7"/>
      <c r="O1234" s="13" t="s">
        <v>1320</v>
      </c>
      <c r="P1234" s="115" t="s">
        <v>3237</v>
      </c>
      <c r="Q1234" s="8"/>
      <c r="R1234" s="2">
        <v>2</v>
      </c>
      <c r="S1234" s="9">
        <v>5000</v>
      </c>
      <c r="T1234" s="10">
        <f t="shared" si="282"/>
        <v>5000</v>
      </c>
      <c r="U1234" s="9">
        <v>60</v>
      </c>
      <c r="V1234" s="10">
        <f t="shared" si="283"/>
        <v>4940</v>
      </c>
      <c r="W1234" s="4" t="s">
        <v>122</v>
      </c>
      <c r="X1234" s="2"/>
      <c r="Y1234" s="11">
        <v>4</v>
      </c>
      <c r="Z1234" s="12">
        <f t="shared" si="273"/>
        <v>103</v>
      </c>
      <c r="AA1234" s="4" t="s">
        <v>117</v>
      </c>
      <c r="AC1234" s="176">
        <f t="shared" si="271"/>
        <v>5.4545454545454543E-2</v>
      </c>
    </row>
    <row r="1235" spans="2:29">
      <c r="B1235" s="183">
        <f t="shared" si="274"/>
        <v>42</v>
      </c>
      <c r="C1235" s="107" t="str">
        <f t="shared" si="275"/>
        <v>ATK</v>
      </c>
      <c r="D1235" s="2" t="s">
        <v>4030</v>
      </c>
      <c r="E1235" s="3">
        <v>44064</v>
      </c>
      <c r="F1235" s="3">
        <v>44116</v>
      </c>
      <c r="G1235" s="108">
        <f t="shared" si="276"/>
        <v>10</v>
      </c>
      <c r="H1235" s="108" t="str">
        <f t="shared" si="277"/>
        <v>완료</v>
      </c>
      <c r="I1235" s="112" t="s">
        <v>514</v>
      </c>
      <c r="J1235" s="4" t="s">
        <v>121</v>
      </c>
      <c r="K1235" s="5" t="s">
        <v>136</v>
      </c>
      <c r="L1235" s="6" t="str">
        <f t="shared" si="272"/>
        <v>5T1</v>
      </c>
      <c r="M1235" s="13" t="s">
        <v>4031</v>
      </c>
      <c r="N1235" s="7" t="s">
        <v>4032</v>
      </c>
      <c r="O1235" s="13" t="s">
        <v>4037</v>
      </c>
      <c r="P1235" s="115"/>
      <c r="Q1235" s="8" t="s">
        <v>4036</v>
      </c>
      <c r="R1235" s="2">
        <v>2</v>
      </c>
      <c r="S1235" s="9">
        <v>8000</v>
      </c>
      <c r="T1235" s="10">
        <f t="shared" si="282"/>
        <v>8000</v>
      </c>
      <c r="U1235" s="9">
        <v>5000</v>
      </c>
      <c r="V1235" s="10">
        <f t="shared" si="283"/>
        <v>3000</v>
      </c>
      <c r="W1235" s="4" t="s">
        <v>123</v>
      </c>
      <c r="X1235" s="2" t="s">
        <v>29</v>
      </c>
      <c r="Y1235" s="11">
        <v>1</v>
      </c>
      <c r="Z1235" s="12">
        <f t="shared" si="273"/>
        <v>52</v>
      </c>
      <c r="AA1235" s="4" t="s">
        <v>117</v>
      </c>
      <c r="AC1235" s="176">
        <f t="shared" si="271"/>
        <v>4.5454545454545459</v>
      </c>
    </row>
    <row r="1236" spans="2:29">
      <c r="B1236" s="183">
        <f t="shared" si="274"/>
        <v>35</v>
      </c>
      <c r="C1236" s="107" t="str">
        <f t="shared" si="275"/>
        <v>ATK</v>
      </c>
      <c r="D1236" s="2" t="s">
        <v>274</v>
      </c>
      <c r="E1236" s="3">
        <v>44060</v>
      </c>
      <c r="F1236" s="3">
        <v>44067</v>
      </c>
      <c r="G1236" s="108">
        <f t="shared" si="276"/>
        <v>8</v>
      </c>
      <c r="H1236" s="108" t="str">
        <f t="shared" si="277"/>
        <v>완료</v>
      </c>
      <c r="I1236" s="112" t="s">
        <v>218</v>
      </c>
      <c r="J1236" s="4" t="s">
        <v>132</v>
      </c>
      <c r="K1236" s="5" t="s">
        <v>143</v>
      </c>
      <c r="L1236" s="6" t="str">
        <f t="shared" si="272"/>
        <v>3T4</v>
      </c>
      <c r="M1236" s="13" t="s">
        <v>216</v>
      </c>
      <c r="N1236" s="7" t="s">
        <v>314</v>
      </c>
      <c r="O1236" s="13" t="s">
        <v>375</v>
      </c>
      <c r="P1236" s="115" t="s">
        <v>4033</v>
      </c>
      <c r="Q1236" s="8"/>
      <c r="R1236" s="2">
        <v>1</v>
      </c>
      <c r="S1236" s="9">
        <v>1500</v>
      </c>
      <c r="T1236" s="10">
        <f t="shared" si="282"/>
        <v>750</v>
      </c>
      <c r="U1236" s="9">
        <v>0</v>
      </c>
      <c r="V1236" s="10">
        <f t="shared" si="283"/>
        <v>750</v>
      </c>
      <c r="W1236" s="4" t="s">
        <v>122</v>
      </c>
      <c r="X1236" s="2"/>
      <c r="Y1236" s="11">
        <v>4</v>
      </c>
      <c r="Z1236" s="12">
        <f t="shared" si="273"/>
        <v>7</v>
      </c>
      <c r="AA1236" s="4" t="s">
        <v>27</v>
      </c>
      <c r="AC1236" s="176">
        <f t="shared" si="271"/>
        <v>0</v>
      </c>
    </row>
    <row r="1237" spans="2:29">
      <c r="B1237" s="183">
        <f t="shared" si="274"/>
        <v>34</v>
      </c>
      <c r="C1237" s="107" t="str">
        <f t="shared" si="275"/>
        <v>ATK</v>
      </c>
      <c r="D1237" s="2" t="s">
        <v>3286</v>
      </c>
      <c r="E1237" s="3">
        <v>44064</v>
      </c>
      <c r="F1237" s="3">
        <v>44064</v>
      </c>
      <c r="G1237" s="108">
        <f t="shared" si="276"/>
        <v>8</v>
      </c>
      <c r="H1237" s="108" t="str">
        <f t="shared" si="277"/>
        <v>Other</v>
      </c>
      <c r="I1237" s="112" t="s">
        <v>251</v>
      </c>
      <c r="J1237" s="4" t="s">
        <v>481</v>
      </c>
      <c r="K1237" s="5" t="s">
        <v>1389</v>
      </c>
      <c r="L1237" s="6" t="str">
        <f t="shared" si="272"/>
        <v>2T1</v>
      </c>
      <c r="M1237" s="13" t="s">
        <v>323</v>
      </c>
      <c r="N1237" s="7" t="s">
        <v>4034</v>
      </c>
      <c r="O1237" s="7"/>
      <c r="P1237" s="115" t="s">
        <v>4035</v>
      </c>
      <c r="Q1237" s="8"/>
      <c r="R1237" s="2">
        <v>1</v>
      </c>
      <c r="S1237" s="9">
        <v>0</v>
      </c>
      <c r="T1237" s="10">
        <f t="shared" si="282"/>
        <v>0</v>
      </c>
      <c r="U1237" s="9">
        <v>0</v>
      </c>
      <c r="V1237" s="10">
        <f t="shared" si="283"/>
        <v>0</v>
      </c>
      <c r="W1237" s="4" t="s">
        <v>122</v>
      </c>
      <c r="X1237" s="2"/>
      <c r="Y1237" s="11">
        <v>8</v>
      </c>
      <c r="Z1237" s="12">
        <f t="shared" si="273"/>
        <v>0</v>
      </c>
      <c r="AA1237" s="4" t="s">
        <v>27</v>
      </c>
      <c r="AC1237" s="176">
        <f t="shared" si="271"/>
        <v>0</v>
      </c>
    </row>
    <row r="1238" spans="2:29">
      <c r="B1238" s="183">
        <f t="shared" si="274"/>
        <v>34</v>
      </c>
      <c r="C1238" s="107" t="str">
        <f t="shared" si="275"/>
        <v>ATK</v>
      </c>
      <c r="D1238" s="2" t="s">
        <v>3286</v>
      </c>
      <c r="E1238" s="3">
        <v>44064</v>
      </c>
      <c r="F1238" s="3">
        <v>44064</v>
      </c>
      <c r="G1238" s="108">
        <f t="shared" si="276"/>
        <v>8</v>
      </c>
      <c r="H1238" s="108" t="str">
        <f t="shared" si="277"/>
        <v>Other</v>
      </c>
      <c r="I1238" s="112" t="s">
        <v>251</v>
      </c>
      <c r="J1238" s="4" t="s">
        <v>481</v>
      </c>
      <c r="K1238" s="5" t="s">
        <v>1389</v>
      </c>
      <c r="L1238" s="6" t="str">
        <f t="shared" si="272"/>
        <v>2T1</v>
      </c>
      <c r="M1238" s="13" t="s">
        <v>323</v>
      </c>
      <c r="N1238" s="7" t="s">
        <v>4034</v>
      </c>
      <c r="O1238" s="7"/>
      <c r="P1238" s="115" t="s">
        <v>4035</v>
      </c>
      <c r="Q1238" s="8"/>
      <c r="R1238" s="2">
        <v>1</v>
      </c>
      <c r="S1238" s="9">
        <v>0</v>
      </c>
      <c r="T1238" s="10">
        <f t="shared" si="282"/>
        <v>0</v>
      </c>
      <c r="U1238" s="9">
        <v>0</v>
      </c>
      <c r="V1238" s="10">
        <f t="shared" si="283"/>
        <v>0</v>
      </c>
      <c r="W1238" s="4" t="s">
        <v>122</v>
      </c>
      <c r="X1238" s="2"/>
      <c r="Y1238" s="11">
        <v>8</v>
      </c>
      <c r="Z1238" s="12">
        <f t="shared" si="273"/>
        <v>0</v>
      </c>
      <c r="AA1238" s="4" t="s">
        <v>174</v>
      </c>
      <c r="AC1238" s="176">
        <f t="shared" si="271"/>
        <v>0</v>
      </c>
    </row>
    <row r="1239" spans="2:29">
      <c r="B1239" s="183">
        <f t="shared" si="274"/>
        <v>35</v>
      </c>
      <c r="C1239" s="107" t="str">
        <f t="shared" si="275"/>
        <v>ATK</v>
      </c>
      <c r="D1239" s="2" t="s">
        <v>3286</v>
      </c>
      <c r="E1239" s="3">
        <v>44067</v>
      </c>
      <c r="F1239" s="3">
        <v>44067</v>
      </c>
      <c r="G1239" s="108">
        <f t="shared" si="276"/>
        <v>8</v>
      </c>
      <c r="H1239" s="108" t="str">
        <f t="shared" si="277"/>
        <v>Other</v>
      </c>
      <c r="I1239" s="112" t="s">
        <v>251</v>
      </c>
      <c r="J1239" s="4" t="s">
        <v>481</v>
      </c>
      <c r="K1239" s="5" t="s">
        <v>1389</v>
      </c>
      <c r="L1239" s="6" t="str">
        <f t="shared" si="272"/>
        <v>2T1</v>
      </c>
      <c r="M1239" s="13" t="s">
        <v>323</v>
      </c>
      <c r="N1239" s="7" t="s">
        <v>4034</v>
      </c>
      <c r="O1239" s="13"/>
      <c r="P1239" s="115"/>
      <c r="Q1239" s="8"/>
      <c r="R1239" s="2">
        <v>1</v>
      </c>
      <c r="S1239" s="9">
        <v>0</v>
      </c>
      <c r="T1239" s="10">
        <f t="shared" si="282"/>
        <v>0</v>
      </c>
      <c r="U1239" s="9">
        <v>0</v>
      </c>
      <c r="V1239" s="10">
        <f t="shared" si="283"/>
        <v>0</v>
      </c>
      <c r="W1239" s="4" t="s">
        <v>122</v>
      </c>
      <c r="X1239" s="2"/>
      <c r="Y1239" s="11">
        <v>4</v>
      </c>
      <c r="Z1239" s="12">
        <f t="shared" si="273"/>
        <v>0</v>
      </c>
      <c r="AA1239" s="4" t="s">
        <v>27</v>
      </c>
      <c r="AC1239" s="176">
        <f t="shared" si="271"/>
        <v>0</v>
      </c>
    </row>
    <row r="1240" spans="2:29">
      <c r="B1240" s="183">
        <f t="shared" si="274"/>
        <v>35</v>
      </c>
      <c r="C1240" s="107" t="str">
        <f t="shared" si="275"/>
        <v>ATK</v>
      </c>
      <c r="D1240" s="2" t="s">
        <v>3286</v>
      </c>
      <c r="E1240" s="3">
        <v>44067</v>
      </c>
      <c r="F1240" s="3">
        <v>44067</v>
      </c>
      <c r="G1240" s="108">
        <f t="shared" si="276"/>
        <v>8</v>
      </c>
      <c r="H1240" s="108" t="str">
        <f t="shared" si="277"/>
        <v>Other</v>
      </c>
      <c r="I1240" s="112" t="s">
        <v>251</v>
      </c>
      <c r="J1240" s="4" t="s">
        <v>481</v>
      </c>
      <c r="K1240" s="5" t="s">
        <v>1389</v>
      </c>
      <c r="L1240" s="6" t="str">
        <f t="shared" si="272"/>
        <v>2T1</v>
      </c>
      <c r="M1240" s="13" t="s">
        <v>323</v>
      </c>
      <c r="N1240" s="7" t="s">
        <v>4034</v>
      </c>
      <c r="O1240" s="13"/>
      <c r="P1240" s="115"/>
      <c r="Q1240" s="8"/>
      <c r="R1240" s="2">
        <v>1</v>
      </c>
      <c r="S1240" s="9">
        <v>0</v>
      </c>
      <c r="T1240" s="10">
        <f t="shared" si="282"/>
        <v>0</v>
      </c>
      <c r="U1240" s="9">
        <v>0</v>
      </c>
      <c r="V1240" s="10">
        <f t="shared" si="283"/>
        <v>0</v>
      </c>
      <c r="W1240" s="4" t="s">
        <v>122</v>
      </c>
      <c r="X1240" s="2"/>
      <c r="Y1240" s="11">
        <v>6</v>
      </c>
      <c r="Z1240" s="12">
        <f t="shared" si="273"/>
        <v>0</v>
      </c>
      <c r="AA1240" s="4" t="s">
        <v>174</v>
      </c>
      <c r="AC1240" s="176">
        <f t="shared" si="271"/>
        <v>0</v>
      </c>
    </row>
    <row r="1241" spans="2:29">
      <c r="B1241" s="183">
        <f t="shared" si="274"/>
        <v>35</v>
      </c>
      <c r="C1241" s="107" t="str">
        <f t="shared" si="275"/>
        <v>ATK</v>
      </c>
      <c r="D1241" s="2" t="s">
        <v>1222</v>
      </c>
      <c r="E1241" s="3">
        <v>44067</v>
      </c>
      <c r="F1241" s="3">
        <v>44067</v>
      </c>
      <c r="G1241" s="108">
        <f t="shared" si="276"/>
        <v>8</v>
      </c>
      <c r="H1241" s="108" t="str">
        <f t="shared" si="277"/>
        <v>완료</v>
      </c>
      <c r="I1241" s="112" t="s">
        <v>218</v>
      </c>
      <c r="J1241" s="4" t="s">
        <v>281</v>
      </c>
      <c r="K1241" s="5" t="s">
        <v>332</v>
      </c>
      <c r="L1241" s="6" t="str">
        <f t="shared" si="272"/>
        <v>EE2</v>
      </c>
      <c r="M1241" s="13" t="s">
        <v>256</v>
      </c>
      <c r="N1241" s="7" t="s">
        <v>4038</v>
      </c>
      <c r="O1241" s="13" t="s">
        <v>4039</v>
      </c>
      <c r="P1241" s="115" t="s">
        <v>4040</v>
      </c>
      <c r="Q1241" s="8"/>
      <c r="R1241" s="2">
        <v>1</v>
      </c>
      <c r="S1241" s="9">
        <v>3500</v>
      </c>
      <c r="T1241" s="10">
        <f t="shared" si="282"/>
        <v>1750</v>
      </c>
      <c r="U1241" s="9">
        <v>0</v>
      </c>
      <c r="V1241" s="10">
        <f t="shared" si="283"/>
        <v>1750</v>
      </c>
      <c r="W1241" s="4" t="s">
        <v>122</v>
      </c>
      <c r="X1241" s="2"/>
      <c r="Y1241" s="11">
        <v>4</v>
      </c>
      <c r="Z1241" s="12">
        <f t="shared" si="273"/>
        <v>0</v>
      </c>
      <c r="AA1241" s="4" t="s">
        <v>27</v>
      </c>
      <c r="AC1241" s="176">
        <f t="shared" si="271"/>
        <v>0</v>
      </c>
    </row>
    <row r="1242" spans="2:29">
      <c r="B1242" s="183">
        <f t="shared" si="274"/>
        <v>35</v>
      </c>
      <c r="C1242" s="107" t="str">
        <f t="shared" si="275"/>
        <v>ATK</v>
      </c>
      <c r="D1242" s="2" t="s">
        <v>4041</v>
      </c>
      <c r="E1242" s="3">
        <v>44060</v>
      </c>
      <c r="F1242" s="3">
        <v>44067</v>
      </c>
      <c r="G1242" s="108">
        <f t="shared" si="276"/>
        <v>8</v>
      </c>
      <c r="H1242" s="108" t="str">
        <f t="shared" si="277"/>
        <v>Other</v>
      </c>
      <c r="I1242" s="112" t="s">
        <v>251</v>
      </c>
      <c r="J1242" s="4" t="s">
        <v>31</v>
      </c>
      <c r="K1242" s="5" t="s">
        <v>31</v>
      </c>
      <c r="L1242" s="6" t="str">
        <f t="shared" si="272"/>
        <v>Oth</v>
      </c>
      <c r="M1242" s="13" t="s">
        <v>4042</v>
      </c>
      <c r="N1242" s="7" t="s">
        <v>4042</v>
      </c>
      <c r="O1242" s="13" t="s">
        <v>4043</v>
      </c>
      <c r="P1242" s="115"/>
      <c r="Q1242" s="8"/>
      <c r="R1242" s="2">
        <v>1</v>
      </c>
      <c r="S1242" s="9">
        <v>0</v>
      </c>
      <c r="T1242" s="10">
        <f t="shared" si="282"/>
        <v>0</v>
      </c>
      <c r="U1242" s="9">
        <v>0</v>
      </c>
      <c r="V1242" s="10">
        <f t="shared" si="283"/>
        <v>0</v>
      </c>
      <c r="W1242" s="4" t="s">
        <v>122</v>
      </c>
      <c r="X1242" s="2"/>
      <c r="Y1242" s="11">
        <v>4</v>
      </c>
      <c r="Z1242" s="12">
        <f t="shared" si="273"/>
        <v>7</v>
      </c>
      <c r="AA1242" s="4" t="s">
        <v>27</v>
      </c>
      <c r="AC1242" s="176">
        <f t="shared" si="271"/>
        <v>0</v>
      </c>
    </row>
    <row r="1243" spans="2:29">
      <c r="B1243" s="183">
        <f t="shared" si="274"/>
        <v>35</v>
      </c>
      <c r="C1243" s="107" t="str">
        <f t="shared" si="275"/>
        <v>ATK</v>
      </c>
      <c r="D1243" s="2" t="s">
        <v>1222</v>
      </c>
      <c r="E1243" s="3">
        <v>44067</v>
      </c>
      <c r="F1243" s="3">
        <v>44068</v>
      </c>
      <c r="G1243" s="108">
        <f t="shared" si="276"/>
        <v>8</v>
      </c>
      <c r="H1243" s="108" t="str">
        <f t="shared" si="277"/>
        <v>완료</v>
      </c>
      <c r="I1243" s="112" t="s">
        <v>218</v>
      </c>
      <c r="J1243" s="4" t="s">
        <v>115</v>
      </c>
      <c r="K1243" s="5" t="s">
        <v>116</v>
      </c>
      <c r="L1243" s="6" t="str">
        <f t="shared" si="272"/>
        <v>EE2</v>
      </c>
      <c r="M1243" s="13" t="s">
        <v>256</v>
      </c>
      <c r="N1243" s="7" t="s">
        <v>4038</v>
      </c>
      <c r="O1243" s="13" t="s">
        <v>4044</v>
      </c>
      <c r="P1243" s="115"/>
      <c r="Q1243" s="8"/>
      <c r="R1243" s="2">
        <v>2</v>
      </c>
      <c r="S1243" s="9">
        <v>1200</v>
      </c>
      <c r="T1243" s="10">
        <f t="shared" si="282"/>
        <v>1200</v>
      </c>
      <c r="U1243" s="9">
        <v>1</v>
      </c>
      <c r="V1243" s="10">
        <f t="shared" si="283"/>
        <v>1199</v>
      </c>
      <c r="W1243" s="4" t="s">
        <v>122</v>
      </c>
      <c r="X1243" s="2"/>
      <c r="Y1243" s="11">
        <v>1</v>
      </c>
      <c r="Z1243" s="12">
        <f t="shared" si="273"/>
        <v>1</v>
      </c>
      <c r="AA1243" s="4" t="s">
        <v>117</v>
      </c>
      <c r="AC1243" s="176">
        <f t="shared" si="271"/>
        <v>9.0909090909090909E-4</v>
      </c>
    </row>
    <row r="1244" spans="2:29">
      <c r="B1244" s="183">
        <f t="shared" si="274"/>
        <v>35</v>
      </c>
      <c r="C1244" s="107" t="str">
        <f t="shared" si="275"/>
        <v>ATK</v>
      </c>
      <c r="D1244" s="2" t="s">
        <v>1222</v>
      </c>
      <c r="E1244" s="3">
        <v>44067</v>
      </c>
      <c r="F1244" s="3">
        <v>44069</v>
      </c>
      <c r="G1244" s="108">
        <f t="shared" si="276"/>
        <v>8</v>
      </c>
      <c r="H1244" s="108" t="str">
        <f t="shared" si="277"/>
        <v>완료</v>
      </c>
      <c r="I1244" s="112" t="s">
        <v>218</v>
      </c>
      <c r="J1244" s="4" t="s">
        <v>115</v>
      </c>
      <c r="K1244" s="5" t="s">
        <v>116</v>
      </c>
      <c r="L1244" s="6" t="str">
        <f t="shared" si="272"/>
        <v>EE2</v>
      </c>
      <c r="M1244" s="13" t="s">
        <v>256</v>
      </c>
      <c r="N1244" s="7" t="s">
        <v>4038</v>
      </c>
      <c r="O1244" s="13" t="s">
        <v>4071</v>
      </c>
      <c r="P1244" s="115" t="s">
        <v>4045</v>
      </c>
      <c r="Q1244" s="8"/>
      <c r="R1244" s="2">
        <v>1</v>
      </c>
      <c r="S1244" s="9">
        <v>600</v>
      </c>
      <c r="T1244" s="10">
        <f t="shared" si="282"/>
        <v>300</v>
      </c>
      <c r="U1244" s="9">
        <v>1</v>
      </c>
      <c r="V1244" s="10">
        <f t="shared" si="283"/>
        <v>299</v>
      </c>
      <c r="W1244" s="4" t="s">
        <v>122</v>
      </c>
      <c r="X1244" s="2"/>
      <c r="Y1244" s="11">
        <v>1</v>
      </c>
      <c r="Z1244" s="12">
        <f t="shared" si="273"/>
        <v>2</v>
      </c>
      <c r="AA1244" s="4" t="s">
        <v>117</v>
      </c>
      <c r="AC1244" s="176">
        <f t="shared" si="271"/>
        <v>9.0909090909090909E-4</v>
      </c>
    </row>
    <row r="1245" spans="2:29">
      <c r="B1245" s="183">
        <f t="shared" si="274"/>
        <v>35</v>
      </c>
      <c r="C1245" s="107" t="str">
        <f t="shared" si="275"/>
        <v>ATK</v>
      </c>
      <c r="D1245" s="2" t="s">
        <v>4046</v>
      </c>
      <c r="E1245" s="3">
        <v>44067</v>
      </c>
      <c r="F1245" s="3">
        <v>44067</v>
      </c>
      <c r="G1245" s="108">
        <f t="shared" si="276"/>
        <v>8</v>
      </c>
      <c r="H1245" s="108" t="str">
        <f t="shared" si="277"/>
        <v>완료</v>
      </c>
      <c r="I1245" s="112" t="s">
        <v>218</v>
      </c>
      <c r="J1245" s="4" t="s">
        <v>132</v>
      </c>
      <c r="K1245" s="5" t="s">
        <v>322</v>
      </c>
      <c r="L1245" s="6" t="str">
        <f t="shared" si="272"/>
        <v>3T1</v>
      </c>
      <c r="M1245" s="13" t="s">
        <v>4047</v>
      </c>
      <c r="N1245" s="7" t="s">
        <v>4050</v>
      </c>
      <c r="O1245" s="13" t="s">
        <v>4048</v>
      </c>
      <c r="P1245" s="115" t="s">
        <v>4049</v>
      </c>
      <c r="Q1245" s="8"/>
      <c r="R1245" s="2">
        <v>2</v>
      </c>
      <c r="S1245" s="9">
        <v>500</v>
      </c>
      <c r="T1245" s="10">
        <f t="shared" si="282"/>
        <v>500</v>
      </c>
      <c r="U1245" s="9">
        <v>1</v>
      </c>
      <c r="V1245" s="10">
        <f t="shared" si="283"/>
        <v>499</v>
      </c>
      <c r="W1245" s="4" t="s">
        <v>122</v>
      </c>
      <c r="X1245" s="2"/>
      <c r="Y1245" s="11">
        <v>5</v>
      </c>
      <c r="Z1245" s="12">
        <f t="shared" si="273"/>
        <v>0</v>
      </c>
      <c r="AA1245" s="4" t="s">
        <v>212</v>
      </c>
      <c r="AC1245" s="176">
        <f t="shared" si="271"/>
        <v>9.0909090909090909E-4</v>
      </c>
    </row>
    <row r="1246" spans="2:29">
      <c r="B1246" s="183">
        <f t="shared" si="274"/>
        <v>35</v>
      </c>
      <c r="C1246" s="107" t="str">
        <f t="shared" si="275"/>
        <v>ATK</v>
      </c>
      <c r="D1246" s="2" t="s">
        <v>4051</v>
      </c>
      <c r="E1246" s="3">
        <v>44067</v>
      </c>
      <c r="F1246" s="3">
        <v>44067</v>
      </c>
      <c r="G1246" s="108">
        <f t="shared" si="276"/>
        <v>8</v>
      </c>
      <c r="H1246" s="108" t="str">
        <f t="shared" si="277"/>
        <v>완료</v>
      </c>
      <c r="I1246" s="112" t="s">
        <v>218</v>
      </c>
      <c r="J1246" s="4" t="s">
        <v>118</v>
      </c>
      <c r="K1246" s="5" t="s">
        <v>137</v>
      </c>
      <c r="L1246" s="6" t="str">
        <f t="shared" si="272"/>
        <v>2T2</v>
      </c>
      <c r="M1246" s="13"/>
      <c r="N1246" s="7" t="s">
        <v>4052</v>
      </c>
      <c r="O1246" s="13" t="s">
        <v>4053</v>
      </c>
      <c r="P1246" s="115"/>
      <c r="Q1246" s="8"/>
      <c r="R1246" s="2">
        <v>2</v>
      </c>
      <c r="S1246" s="9">
        <v>100</v>
      </c>
      <c r="T1246" s="10">
        <f t="shared" si="282"/>
        <v>100</v>
      </c>
      <c r="U1246" s="9">
        <v>5</v>
      </c>
      <c r="V1246" s="10">
        <f t="shared" si="283"/>
        <v>95</v>
      </c>
      <c r="W1246" s="4" t="s">
        <v>122</v>
      </c>
      <c r="X1246" s="2"/>
      <c r="Y1246" s="11">
        <v>8</v>
      </c>
      <c r="Z1246" s="12">
        <f t="shared" si="273"/>
        <v>0</v>
      </c>
      <c r="AA1246" s="4" t="s">
        <v>259</v>
      </c>
      <c r="AC1246" s="176">
        <f t="shared" si="271"/>
        <v>4.5454545454545452E-3</v>
      </c>
    </row>
    <row r="1247" spans="2:29">
      <c r="B1247" s="183">
        <f t="shared" si="274"/>
        <v>35</v>
      </c>
      <c r="C1247" s="107" t="str">
        <f t="shared" si="275"/>
        <v>ATK</v>
      </c>
      <c r="D1247" s="2" t="s">
        <v>4054</v>
      </c>
      <c r="E1247" s="3">
        <v>44068</v>
      </c>
      <c r="F1247" s="3">
        <v>44068</v>
      </c>
      <c r="G1247" s="108">
        <f t="shared" si="276"/>
        <v>8</v>
      </c>
      <c r="H1247" s="108" t="str">
        <f t="shared" si="277"/>
        <v>완료</v>
      </c>
      <c r="I1247" s="112" t="s">
        <v>218</v>
      </c>
      <c r="J1247" s="4" t="s">
        <v>127</v>
      </c>
      <c r="K1247" s="5" t="s">
        <v>135</v>
      </c>
      <c r="L1247" s="6" t="str">
        <f t="shared" si="272"/>
        <v>1T3</v>
      </c>
      <c r="M1247" s="13" t="s">
        <v>256</v>
      </c>
      <c r="N1247" s="7" t="s">
        <v>4038</v>
      </c>
      <c r="O1247" s="13" t="s">
        <v>370</v>
      </c>
      <c r="P1247" s="115"/>
      <c r="Q1247" s="8"/>
      <c r="R1247" s="2">
        <v>2</v>
      </c>
      <c r="S1247" s="9">
        <v>2200</v>
      </c>
      <c r="T1247" s="10">
        <f t="shared" si="282"/>
        <v>2200</v>
      </c>
      <c r="U1247" s="9">
        <v>100</v>
      </c>
      <c r="V1247" s="10">
        <f t="shared" si="283"/>
        <v>2100</v>
      </c>
      <c r="W1247" s="4" t="s">
        <v>122</v>
      </c>
      <c r="X1247" s="2"/>
      <c r="Y1247" s="11">
        <v>3</v>
      </c>
      <c r="Z1247" s="12">
        <f t="shared" si="273"/>
        <v>0</v>
      </c>
      <c r="AA1247" s="4" t="s">
        <v>117</v>
      </c>
      <c r="AC1247" s="176">
        <f t="shared" si="271"/>
        <v>9.0909090909090912E-2</v>
      </c>
    </row>
    <row r="1248" spans="2:29">
      <c r="B1248" s="183">
        <f t="shared" si="274"/>
        <v>35</v>
      </c>
      <c r="C1248" s="107" t="str">
        <f t="shared" si="275"/>
        <v>ATK</v>
      </c>
      <c r="D1248" s="2" t="s">
        <v>241</v>
      </c>
      <c r="E1248" s="3">
        <v>44068</v>
      </c>
      <c r="F1248" s="3">
        <v>44068</v>
      </c>
      <c r="G1248" s="108">
        <f t="shared" si="276"/>
        <v>8</v>
      </c>
      <c r="H1248" s="108" t="str">
        <f t="shared" si="277"/>
        <v>완료</v>
      </c>
      <c r="I1248" s="112" t="s">
        <v>218</v>
      </c>
      <c r="J1248" s="4" t="s">
        <v>121</v>
      </c>
      <c r="K1248" s="5" t="s">
        <v>136</v>
      </c>
      <c r="L1248" s="6" t="str">
        <f t="shared" si="272"/>
        <v>5T1</v>
      </c>
      <c r="M1248" s="13" t="s">
        <v>305</v>
      </c>
      <c r="N1248" s="7" t="s">
        <v>4055</v>
      </c>
      <c r="O1248" s="13" t="s">
        <v>4056</v>
      </c>
      <c r="P1248" s="115" t="s">
        <v>4057</v>
      </c>
      <c r="Q1248" s="8" t="s">
        <v>4058</v>
      </c>
      <c r="R1248" s="2">
        <v>1</v>
      </c>
      <c r="S1248" s="9">
        <v>440</v>
      </c>
      <c r="T1248" s="10">
        <f t="shared" si="282"/>
        <v>220</v>
      </c>
      <c r="U1248" s="9">
        <v>0</v>
      </c>
      <c r="V1248" s="10">
        <f t="shared" si="283"/>
        <v>220</v>
      </c>
      <c r="W1248" s="4" t="s">
        <v>122</v>
      </c>
      <c r="X1248" s="2"/>
      <c r="Y1248" s="11">
        <v>4</v>
      </c>
      <c r="Z1248" s="12">
        <f t="shared" si="273"/>
        <v>0</v>
      </c>
      <c r="AA1248" s="4" t="s">
        <v>120</v>
      </c>
      <c r="AC1248" s="176">
        <f t="shared" si="271"/>
        <v>0</v>
      </c>
    </row>
    <row r="1249" spans="2:29">
      <c r="B1249" s="183">
        <f t="shared" si="274"/>
        <v>35</v>
      </c>
      <c r="C1249" s="107" t="str">
        <f t="shared" si="275"/>
        <v>ATK</v>
      </c>
      <c r="D1249" s="2" t="s">
        <v>4059</v>
      </c>
      <c r="E1249" s="3">
        <v>44067</v>
      </c>
      <c r="F1249" s="3">
        <v>44068</v>
      </c>
      <c r="G1249" s="108">
        <f t="shared" si="276"/>
        <v>8</v>
      </c>
      <c r="H1249" s="108" t="str">
        <f t="shared" si="277"/>
        <v>완료</v>
      </c>
      <c r="I1249" s="112" t="s">
        <v>218</v>
      </c>
      <c r="J1249" s="4" t="s">
        <v>132</v>
      </c>
      <c r="K1249" s="5" t="s">
        <v>322</v>
      </c>
      <c r="L1249" s="6" t="str">
        <f t="shared" si="272"/>
        <v>3T1</v>
      </c>
      <c r="M1249" s="13" t="s">
        <v>4060</v>
      </c>
      <c r="N1249" s="7" t="s">
        <v>4061</v>
      </c>
      <c r="O1249" s="13" t="s">
        <v>4062</v>
      </c>
      <c r="P1249" s="115" t="s">
        <v>4090</v>
      </c>
      <c r="Q1249" s="8" t="s">
        <v>4063</v>
      </c>
      <c r="R1249" s="2">
        <v>1</v>
      </c>
      <c r="S1249" s="9">
        <v>4600</v>
      </c>
      <c r="T1249" s="10">
        <f t="shared" si="282"/>
        <v>2300</v>
      </c>
      <c r="U1249" s="9">
        <v>3</v>
      </c>
      <c r="V1249" s="10">
        <f t="shared" si="283"/>
        <v>2297</v>
      </c>
      <c r="W1249" s="4" t="s">
        <v>122</v>
      </c>
      <c r="X1249" s="2"/>
      <c r="Y1249" s="11">
        <v>4</v>
      </c>
      <c r="Z1249" s="12">
        <f t="shared" si="273"/>
        <v>1</v>
      </c>
      <c r="AA1249" s="4" t="s">
        <v>120</v>
      </c>
      <c r="AC1249" s="176">
        <f t="shared" si="271"/>
        <v>2.7272727272727275E-3</v>
      </c>
    </row>
    <row r="1250" spans="2:29">
      <c r="B1250" s="183">
        <f t="shared" si="274"/>
        <v>35</v>
      </c>
      <c r="C1250" s="107" t="str">
        <f t="shared" si="275"/>
        <v>ATK</v>
      </c>
      <c r="D1250" s="2" t="s">
        <v>4064</v>
      </c>
      <c r="E1250" s="3">
        <v>44069</v>
      </c>
      <c r="F1250" s="3">
        <v>44069</v>
      </c>
      <c r="G1250" s="108">
        <f t="shared" si="276"/>
        <v>8</v>
      </c>
      <c r="H1250" s="108" t="str">
        <f t="shared" si="277"/>
        <v>완료</v>
      </c>
      <c r="I1250" s="112" t="s">
        <v>218</v>
      </c>
      <c r="J1250" s="4" t="s">
        <v>132</v>
      </c>
      <c r="K1250" s="5" t="s">
        <v>322</v>
      </c>
      <c r="L1250" s="6" t="str">
        <f t="shared" si="272"/>
        <v>3T1</v>
      </c>
      <c r="M1250" s="13" t="s">
        <v>4065</v>
      </c>
      <c r="N1250" s="7"/>
      <c r="O1250" s="13" t="s">
        <v>4066</v>
      </c>
      <c r="P1250" s="115" t="s">
        <v>4067</v>
      </c>
      <c r="Q1250" s="8"/>
      <c r="R1250" s="2">
        <v>1</v>
      </c>
      <c r="S1250" s="9">
        <v>1800</v>
      </c>
      <c r="T1250" s="10">
        <f t="shared" si="282"/>
        <v>900</v>
      </c>
      <c r="U1250" s="9">
        <v>2</v>
      </c>
      <c r="V1250" s="10">
        <f t="shared" si="283"/>
        <v>898</v>
      </c>
      <c r="W1250" s="4" t="s">
        <v>122</v>
      </c>
      <c r="X1250" s="2"/>
      <c r="Y1250" s="11">
        <v>4</v>
      </c>
      <c r="Z1250" s="12">
        <f t="shared" si="273"/>
        <v>0</v>
      </c>
      <c r="AA1250" s="4" t="s">
        <v>117</v>
      </c>
      <c r="AC1250" s="176">
        <f t="shared" si="271"/>
        <v>1.8181818181818182E-3</v>
      </c>
    </row>
    <row r="1251" spans="2:29">
      <c r="B1251" s="183">
        <f t="shared" si="274"/>
        <v>35</v>
      </c>
      <c r="C1251" s="107" t="str">
        <f t="shared" si="275"/>
        <v>ATK</v>
      </c>
      <c r="D1251" s="2" t="s">
        <v>4064</v>
      </c>
      <c r="E1251" s="3">
        <v>44069</v>
      </c>
      <c r="F1251" s="3">
        <v>44070</v>
      </c>
      <c r="G1251" s="108">
        <f t="shared" si="276"/>
        <v>8</v>
      </c>
      <c r="H1251" s="108" t="str">
        <f t="shared" si="277"/>
        <v>완료</v>
      </c>
      <c r="I1251" s="112" t="s">
        <v>218</v>
      </c>
      <c r="J1251" s="4" t="s">
        <v>132</v>
      </c>
      <c r="K1251" s="5" t="s">
        <v>322</v>
      </c>
      <c r="L1251" s="6" t="str">
        <f t="shared" si="272"/>
        <v>3T1</v>
      </c>
      <c r="M1251" s="13" t="s">
        <v>4065</v>
      </c>
      <c r="N1251" s="7"/>
      <c r="O1251" s="13" t="s">
        <v>4066</v>
      </c>
      <c r="P1251" s="115" t="s">
        <v>4067</v>
      </c>
      <c r="Q1251" s="8"/>
      <c r="R1251" s="2">
        <v>1</v>
      </c>
      <c r="S1251" s="9">
        <v>1800</v>
      </c>
      <c r="T1251" s="10">
        <f t="shared" si="282"/>
        <v>900</v>
      </c>
      <c r="U1251" s="9">
        <v>2</v>
      </c>
      <c r="V1251" s="10">
        <f t="shared" si="283"/>
        <v>898</v>
      </c>
      <c r="W1251" s="4" t="s">
        <v>122</v>
      </c>
      <c r="X1251" s="2"/>
      <c r="Y1251" s="11">
        <v>4</v>
      </c>
      <c r="Z1251" s="12">
        <f t="shared" si="273"/>
        <v>1</v>
      </c>
      <c r="AA1251" s="4" t="s">
        <v>4104</v>
      </c>
      <c r="AC1251" s="176">
        <f t="shared" si="271"/>
        <v>1.8181818181818182E-3</v>
      </c>
    </row>
    <row r="1252" spans="2:29">
      <c r="B1252" s="183">
        <f t="shared" si="274"/>
        <v>41</v>
      </c>
      <c r="C1252" s="107" t="str">
        <f t="shared" si="275"/>
        <v>ATK</v>
      </c>
      <c r="D1252" s="2" t="s">
        <v>4068</v>
      </c>
      <c r="E1252" s="3">
        <v>44069</v>
      </c>
      <c r="F1252" s="3">
        <v>44111</v>
      </c>
      <c r="G1252" s="108">
        <f t="shared" si="276"/>
        <v>10</v>
      </c>
      <c r="H1252" s="108" t="str">
        <f t="shared" si="277"/>
        <v>완료</v>
      </c>
      <c r="I1252" s="112" t="s">
        <v>218</v>
      </c>
      <c r="J1252" s="4" t="s">
        <v>243</v>
      </c>
      <c r="K1252" s="5" t="s">
        <v>243</v>
      </c>
      <c r="L1252" s="6" t="str">
        <f t="shared" si="272"/>
        <v>K5</v>
      </c>
      <c r="M1252" s="13" t="s">
        <v>4069</v>
      </c>
      <c r="N1252" s="7"/>
      <c r="O1252" s="13" t="s">
        <v>4070</v>
      </c>
      <c r="P1252" s="115" t="s">
        <v>1522</v>
      </c>
      <c r="Q1252" s="8"/>
      <c r="R1252" s="2">
        <v>1</v>
      </c>
      <c r="S1252" s="9">
        <v>5000</v>
      </c>
      <c r="T1252" s="10">
        <f t="shared" si="282"/>
        <v>2500</v>
      </c>
      <c r="U1252" s="9">
        <v>150</v>
      </c>
      <c r="V1252" s="10">
        <f t="shared" si="283"/>
        <v>2350</v>
      </c>
      <c r="W1252" s="4" t="s">
        <v>122</v>
      </c>
      <c r="X1252" s="2"/>
      <c r="Y1252" s="11">
        <v>6</v>
      </c>
      <c r="Z1252" s="12">
        <f t="shared" si="273"/>
        <v>42</v>
      </c>
      <c r="AA1252" s="4" t="s">
        <v>27</v>
      </c>
      <c r="AC1252" s="176">
        <f t="shared" si="271"/>
        <v>0.13636363636363635</v>
      </c>
    </row>
    <row r="1253" spans="2:29">
      <c r="B1253" s="183">
        <f t="shared" si="274"/>
        <v>35</v>
      </c>
      <c r="C1253" s="107" t="str">
        <f t="shared" si="275"/>
        <v>ATK</v>
      </c>
      <c r="D1253" s="2" t="s">
        <v>4072</v>
      </c>
      <c r="E1253" s="3">
        <v>44069</v>
      </c>
      <c r="F1253" s="3">
        <v>44069</v>
      </c>
      <c r="G1253" s="108">
        <f t="shared" si="276"/>
        <v>8</v>
      </c>
      <c r="H1253" s="108" t="str">
        <f t="shared" si="277"/>
        <v>완료</v>
      </c>
      <c r="I1253" s="112" t="s">
        <v>218</v>
      </c>
      <c r="J1253" s="4" t="s">
        <v>127</v>
      </c>
      <c r="K1253" s="5" t="s">
        <v>466</v>
      </c>
      <c r="L1253" s="6" t="str">
        <f t="shared" si="272"/>
        <v>6T2</v>
      </c>
      <c r="M1253" s="13"/>
      <c r="N1253" s="7"/>
      <c r="O1253" s="13" t="s">
        <v>4073</v>
      </c>
      <c r="P1253" s="115" t="s">
        <v>4074</v>
      </c>
      <c r="Q1253" s="8"/>
      <c r="R1253" s="2">
        <v>1</v>
      </c>
      <c r="S1253" s="9">
        <v>2000</v>
      </c>
      <c r="T1253" s="10">
        <f t="shared" si="282"/>
        <v>1000</v>
      </c>
      <c r="U1253" s="9">
        <v>5</v>
      </c>
      <c r="V1253" s="10">
        <f t="shared" si="283"/>
        <v>995</v>
      </c>
      <c r="W1253" s="4" t="s">
        <v>122</v>
      </c>
      <c r="X1253" s="2"/>
      <c r="Y1253" s="11">
        <v>4</v>
      </c>
      <c r="Z1253" s="12">
        <f t="shared" si="273"/>
        <v>0</v>
      </c>
      <c r="AA1253" s="4" t="s">
        <v>259</v>
      </c>
      <c r="AC1253" s="176">
        <f t="shared" si="271"/>
        <v>4.5454545454545452E-3</v>
      </c>
    </row>
    <row r="1254" spans="2:29">
      <c r="B1254" s="183">
        <f t="shared" si="274"/>
        <v>35</v>
      </c>
      <c r="C1254" s="107" t="str">
        <f t="shared" si="275"/>
        <v>ATK</v>
      </c>
      <c r="D1254" s="2" t="s">
        <v>217</v>
      </c>
      <c r="E1254" s="3">
        <v>44069</v>
      </c>
      <c r="F1254" s="3">
        <v>44069</v>
      </c>
      <c r="G1254" s="108">
        <f t="shared" si="276"/>
        <v>8</v>
      </c>
      <c r="H1254" s="108" t="str">
        <f t="shared" si="277"/>
        <v>완료</v>
      </c>
      <c r="I1254" s="112" t="s">
        <v>218</v>
      </c>
      <c r="J1254" s="4" t="s">
        <v>118</v>
      </c>
      <c r="K1254" s="5" t="s">
        <v>131</v>
      </c>
      <c r="L1254" s="6" t="str">
        <f t="shared" si="272"/>
        <v>1T4</v>
      </c>
      <c r="M1254" s="13" t="s">
        <v>1417</v>
      </c>
      <c r="N1254" s="7" t="s">
        <v>4075</v>
      </c>
      <c r="O1254" s="13" t="s">
        <v>3417</v>
      </c>
      <c r="P1254" s="115" t="s">
        <v>4076</v>
      </c>
      <c r="Q1254" s="8" t="s">
        <v>4078</v>
      </c>
      <c r="R1254" s="2">
        <v>1</v>
      </c>
      <c r="S1254" s="9">
        <v>600</v>
      </c>
      <c r="T1254" s="10">
        <f t="shared" si="282"/>
        <v>300</v>
      </c>
      <c r="U1254" s="9">
        <v>4</v>
      </c>
      <c r="V1254" s="10">
        <f t="shared" si="283"/>
        <v>296</v>
      </c>
      <c r="W1254" s="4" t="s">
        <v>122</v>
      </c>
      <c r="X1254" s="2"/>
      <c r="Y1254" s="11">
        <v>3</v>
      </c>
      <c r="Z1254" s="12">
        <f t="shared" si="273"/>
        <v>0</v>
      </c>
      <c r="AA1254" s="4" t="s">
        <v>120</v>
      </c>
      <c r="AC1254" s="176">
        <f t="shared" si="271"/>
        <v>3.6363636363636364E-3</v>
      </c>
    </row>
    <row r="1255" spans="2:29">
      <c r="B1255" s="183">
        <f t="shared" si="274"/>
        <v>35</v>
      </c>
      <c r="C1255" s="107" t="str">
        <f t="shared" si="275"/>
        <v>ATK</v>
      </c>
      <c r="D1255" s="2" t="s">
        <v>217</v>
      </c>
      <c r="E1255" s="3">
        <v>44069</v>
      </c>
      <c r="F1255" s="3">
        <v>44069</v>
      </c>
      <c r="G1255" s="108">
        <f t="shared" si="276"/>
        <v>8</v>
      </c>
      <c r="H1255" s="108" t="str">
        <f t="shared" si="277"/>
        <v>완료</v>
      </c>
      <c r="I1255" s="112" t="s">
        <v>218</v>
      </c>
      <c r="J1255" s="4" t="s">
        <v>118</v>
      </c>
      <c r="K1255" s="5" t="s">
        <v>131</v>
      </c>
      <c r="L1255" s="6" t="str">
        <f t="shared" si="272"/>
        <v>1T4</v>
      </c>
      <c r="M1255" s="13" t="s">
        <v>1417</v>
      </c>
      <c r="N1255" s="7" t="s">
        <v>4075</v>
      </c>
      <c r="O1255" s="13" t="s">
        <v>3417</v>
      </c>
      <c r="P1255" s="115" t="s">
        <v>4077</v>
      </c>
      <c r="Q1255" s="8" t="s">
        <v>4079</v>
      </c>
      <c r="R1255" s="2">
        <v>1</v>
      </c>
      <c r="S1255" s="9">
        <v>600</v>
      </c>
      <c r="T1255" s="10">
        <f t="shared" si="282"/>
        <v>300</v>
      </c>
      <c r="U1255" s="9">
        <v>4</v>
      </c>
      <c r="V1255" s="10">
        <f t="shared" si="283"/>
        <v>296</v>
      </c>
      <c r="W1255" s="4" t="s">
        <v>122</v>
      </c>
      <c r="X1255" s="2"/>
      <c r="Y1255" s="11">
        <v>3</v>
      </c>
      <c r="Z1255" s="12">
        <f t="shared" si="273"/>
        <v>0</v>
      </c>
      <c r="AA1255" s="4" t="s">
        <v>120</v>
      </c>
      <c r="AC1255" s="176">
        <f t="shared" si="271"/>
        <v>3.6363636363636364E-3</v>
      </c>
    </row>
    <row r="1256" spans="2:29">
      <c r="B1256" s="183">
        <f t="shared" si="274"/>
        <v>35</v>
      </c>
      <c r="C1256" s="107" t="str">
        <f t="shared" si="275"/>
        <v>ATK</v>
      </c>
      <c r="D1256" s="2" t="s">
        <v>217</v>
      </c>
      <c r="E1256" s="3">
        <v>44069</v>
      </c>
      <c r="F1256" s="3">
        <v>44069</v>
      </c>
      <c r="G1256" s="108">
        <f t="shared" si="276"/>
        <v>8</v>
      </c>
      <c r="H1256" s="108" t="str">
        <f t="shared" si="277"/>
        <v>완료</v>
      </c>
      <c r="I1256" s="112" t="s">
        <v>218</v>
      </c>
      <c r="J1256" s="4" t="s">
        <v>118</v>
      </c>
      <c r="K1256" s="5" t="s">
        <v>119</v>
      </c>
      <c r="L1256" s="6" t="str">
        <f t="shared" si="272"/>
        <v>2T3</v>
      </c>
      <c r="M1256" s="13" t="s">
        <v>1417</v>
      </c>
      <c r="N1256" s="7" t="s">
        <v>4075</v>
      </c>
      <c r="O1256" s="13" t="s">
        <v>3417</v>
      </c>
      <c r="P1256" s="115" t="s">
        <v>4076</v>
      </c>
      <c r="Q1256" s="8" t="s">
        <v>4080</v>
      </c>
      <c r="R1256" s="2">
        <v>1</v>
      </c>
      <c r="S1256" s="9">
        <v>600</v>
      </c>
      <c r="T1256" s="10">
        <f t="shared" si="282"/>
        <v>300</v>
      </c>
      <c r="U1256" s="9">
        <v>4</v>
      </c>
      <c r="V1256" s="10">
        <f t="shared" si="283"/>
        <v>296</v>
      </c>
      <c r="W1256" s="4" t="s">
        <v>122</v>
      </c>
      <c r="X1256" s="2"/>
      <c r="Y1256" s="11">
        <v>3</v>
      </c>
      <c r="Z1256" s="12">
        <f t="shared" si="273"/>
        <v>0</v>
      </c>
      <c r="AA1256" s="4" t="s">
        <v>120</v>
      </c>
      <c r="AC1256" s="176">
        <f t="shared" si="271"/>
        <v>3.6363636363636364E-3</v>
      </c>
    </row>
    <row r="1257" spans="2:29">
      <c r="B1257" s="183">
        <f t="shared" si="274"/>
        <v>35</v>
      </c>
      <c r="C1257" s="107" t="str">
        <f t="shared" si="275"/>
        <v>ATK</v>
      </c>
      <c r="D1257" s="2" t="s">
        <v>4105</v>
      </c>
      <c r="E1257" s="3">
        <v>44069</v>
      </c>
      <c r="F1257" s="3">
        <v>44069</v>
      </c>
      <c r="G1257" s="108">
        <f t="shared" si="276"/>
        <v>8</v>
      </c>
      <c r="H1257" s="108" t="str">
        <f t="shared" si="277"/>
        <v>완료</v>
      </c>
      <c r="I1257" s="112" t="s">
        <v>4081</v>
      </c>
      <c r="J1257" s="4" t="s">
        <v>4082</v>
      </c>
      <c r="K1257" s="5" t="s">
        <v>4083</v>
      </c>
      <c r="L1257" s="6" t="str">
        <f t="shared" si="272"/>
        <v>5T2</v>
      </c>
      <c r="M1257" s="13" t="s">
        <v>4084</v>
      </c>
      <c r="N1257" s="7" t="s">
        <v>4084</v>
      </c>
      <c r="O1257" s="13" t="s">
        <v>4089</v>
      </c>
      <c r="P1257" s="115" t="s">
        <v>4086</v>
      </c>
      <c r="Q1257" s="8"/>
      <c r="R1257" s="2">
        <v>1</v>
      </c>
      <c r="S1257" s="9">
        <v>500</v>
      </c>
      <c r="T1257" s="10">
        <f t="shared" si="282"/>
        <v>250</v>
      </c>
      <c r="U1257" s="9">
        <v>5</v>
      </c>
      <c r="V1257" s="10">
        <f t="shared" si="283"/>
        <v>245</v>
      </c>
      <c r="W1257" s="4" t="s">
        <v>4087</v>
      </c>
      <c r="X1257" s="2"/>
      <c r="Y1257" s="11">
        <v>2</v>
      </c>
      <c r="Z1257" s="12">
        <f t="shared" si="273"/>
        <v>0</v>
      </c>
      <c r="AA1257" s="4" t="s">
        <v>4088</v>
      </c>
      <c r="AC1257" s="176">
        <f t="shared" si="271"/>
        <v>4.5454545454545452E-3</v>
      </c>
    </row>
    <row r="1258" spans="2:29">
      <c r="B1258" s="183">
        <f t="shared" si="274"/>
        <v>35</v>
      </c>
      <c r="C1258" s="107" t="str">
        <f t="shared" si="275"/>
        <v>ATK</v>
      </c>
      <c r="D1258" s="189" t="s">
        <v>4094</v>
      </c>
      <c r="E1258" s="3">
        <v>44068</v>
      </c>
      <c r="F1258" s="3">
        <v>44069</v>
      </c>
      <c r="G1258" s="108">
        <f t="shared" si="276"/>
        <v>8</v>
      </c>
      <c r="H1258" s="108" t="str">
        <f t="shared" si="277"/>
        <v>완료</v>
      </c>
      <c r="I1258" s="112" t="s">
        <v>4091</v>
      </c>
      <c r="J1258" s="4" t="s">
        <v>4092</v>
      </c>
      <c r="K1258" s="5" t="s">
        <v>4093</v>
      </c>
      <c r="L1258" s="6" t="str">
        <f t="shared" si="272"/>
        <v>1T4</v>
      </c>
      <c r="M1258" s="13" t="s">
        <v>270</v>
      </c>
      <c r="N1258" s="7" t="s">
        <v>4095</v>
      </c>
      <c r="O1258" s="13" t="s">
        <v>270</v>
      </c>
      <c r="P1258" s="115" t="s">
        <v>4096</v>
      </c>
      <c r="Q1258" s="8" t="s">
        <v>4097</v>
      </c>
      <c r="R1258" s="2">
        <v>1</v>
      </c>
      <c r="S1258" s="9">
        <v>710</v>
      </c>
      <c r="T1258" s="10">
        <f t="shared" si="282"/>
        <v>355</v>
      </c>
      <c r="U1258" s="9">
        <v>25</v>
      </c>
      <c r="V1258" s="10">
        <f t="shared" si="283"/>
        <v>330</v>
      </c>
      <c r="W1258" s="4" t="s">
        <v>4098</v>
      </c>
      <c r="X1258" s="2"/>
      <c r="Y1258" s="11">
        <v>2</v>
      </c>
      <c r="Z1258" s="12">
        <f t="shared" si="273"/>
        <v>1</v>
      </c>
      <c r="AA1258" s="4" t="s">
        <v>4099</v>
      </c>
      <c r="AC1258" s="176">
        <f t="shared" si="271"/>
        <v>2.2727272727272728E-2</v>
      </c>
    </row>
    <row r="1259" spans="2:29">
      <c r="B1259" s="183">
        <f t="shared" si="274"/>
        <v>35</v>
      </c>
      <c r="C1259" s="107" t="str">
        <f t="shared" si="275"/>
        <v>ATK</v>
      </c>
      <c r="D1259" s="189" t="s">
        <v>4094</v>
      </c>
      <c r="E1259" s="3">
        <v>44068</v>
      </c>
      <c r="F1259" s="3">
        <v>44069</v>
      </c>
      <c r="G1259" s="108">
        <f t="shared" si="276"/>
        <v>8</v>
      </c>
      <c r="H1259" s="108" t="str">
        <f t="shared" si="277"/>
        <v>완료</v>
      </c>
      <c r="I1259" s="112" t="s">
        <v>4091</v>
      </c>
      <c r="J1259" s="4" t="s">
        <v>4092</v>
      </c>
      <c r="K1259" s="5" t="s">
        <v>4093</v>
      </c>
      <c r="L1259" s="6" t="str">
        <f t="shared" si="272"/>
        <v>1T4</v>
      </c>
      <c r="M1259" s="13" t="s">
        <v>270</v>
      </c>
      <c r="N1259" s="7" t="s">
        <v>4095</v>
      </c>
      <c r="O1259" s="13" t="s">
        <v>270</v>
      </c>
      <c r="P1259" s="115" t="s">
        <v>4096</v>
      </c>
      <c r="Q1259" s="8" t="s">
        <v>4100</v>
      </c>
      <c r="R1259" s="2">
        <v>1</v>
      </c>
      <c r="S1259" s="9">
        <v>710</v>
      </c>
      <c r="T1259" s="10">
        <f t="shared" ref="T1259" si="284">(S1259*50)/100*R1259</f>
        <v>355</v>
      </c>
      <c r="U1259" s="9">
        <v>25</v>
      </c>
      <c r="V1259" s="10">
        <f t="shared" ref="V1259" si="285">T1259-U1259</f>
        <v>330</v>
      </c>
      <c r="W1259" s="4" t="s">
        <v>4098</v>
      </c>
      <c r="X1259" s="2"/>
      <c r="Y1259" s="11">
        <v>2</v>
      </c>
      <c r="Z1259" s="12">
        <f t="shared" si="273"/>
        <v>1</v>
      </c>
      <c r="AA1259" s="4" t="s">
        <v>4099</v>
      </c>
      <c r="AC1259" s="176">
        <f t="shared" si="271"/>
        <v>2.2727272727272728E-2</v>
      </c>
    </row>
    <row r="1260" spans="2:29">
      <c r="B1260" s="183">
        <f t="shared" si="274"/>
        <v>35</v>
      </c>
      <c r="C1260" s="107" t="str">
        <f t="shared" si="275"/>
        <v>ATK</v>
      </c>
      <c r="D1260" s="189" t="s">
        <v>4101</v>
      </c>
      <c r="E1260" s="3">
        <v>44068</v>
      </c>
      <c r="F1260" s="3">
        <v>44070</v>
      </c>
      <c r="G1260" s="108">
        <f t="shared" si="276"/>
        <v>8</v>
      </c>
      <c r="H1260" s="108" t="str">
        <f t="shared" si="277"/>
        <v>완료</v>
      </c>
      <c r="I1260" s="112" t="s">
        <v>4091</v>
      </c>
      <c r="J1260" s="4" t="s">
        <v>4102</v>
      </c>
      <c r="K1260" s="5" t="s">
        <v>4103</v>
      </c>
      <c r="L1260" s="6" t="str">
        <f t="shared" si="272"/>
        <v>2T3</v>
      </c>
      <c r="M1260" s="13" t="s">
        <v>270</v>
      </c>
      <c r="N1260" s="7" t="s">
        <v>4095</v>
      </c>
      <c r="O1260" s="13" t="s">
        <v>270</v>
      </c>
      <c r="P1260" s="115" t="s">
        <v>4096</v>
      </c>
      <c r="Q1260" s="8"/>
      <c r="R1260" s="2">
        <v>1</v>
      </c>
      <c r="S1260" s="9">
        <v>710</v>
      </c>
      <c r="T1260" s="10">
        <f t="shared" ref="T1260" si="286">(S1260*50)/100*R1260</f>
        <v>355</v>
      </c>
      <c r="U1260" s="9">
        <v>50</v>
      </c>
      <c r="V1260" s="10">
        <f t="shared" ref="V1260" si="287">T1260-U1260</f>
        <v>305</v>
      </c>
      <c r="W1260" s="4" t="s">
        <v>4098</v>
      </c>
      <c r="X1260" s="2"/>
      <c r="Y1260" s="11">
        <v>1</v>
      </c>
      <c r="Z1260" s="12">
        <f t="shared" si="273"/>
        <v>2</v>
      </c>
      <c r="AA1260" s="4" t="s">
        <v>4099</v>
      </c>
      <c r="AC1260" s="176">
        <f t="shared" si="271"/>
        <v>4.5454545454545456E-2</v>
      </c>
    </row>
    <row r="1261" spans="2:29">
      <c r="B1261" s="183">
        <f t="shared" si="274"/>
        <v>35</v>
      </c>
      <c r="C1261" s="107" t="str">
        <f t="shared" si="275"/>
        <v>ATK</v>
      </c>
      <c r="D1261" s="189" t="s">
        <v>1157</v>
      </c>
      <c r="E1261" s="3">
        <v>44068</v>
      </c>
      <c r="F1261" s="3">
        <v>44070</v>
      </c>
      <c r="G1261" s="108">
        <f t="shared" si="276"/>
        <v>8</v>
      </c>
      <c r="H1261" s="108" t="str">
        <f t="shared" si="277"/>
        <v>완료</v>
      </c>
      <c r="I1261" s="112" t="s">
        <v>264</v>
      </c>
      <c r="J1261" s="4" t="s">
        <v>481</v>
      </c>
      <c r="K1261" s="5" t="s">
        <v>621</v>
      </c>
      <c r="L1261" s="6" t="str">
        <f t="shared" si="272"/>
        <v>2T3</v>
      </c>
      <c r="M1261" s="13" t="s">
        <v>270</v>
      </c>
      <c r="N1261" s="7" t="s">
        <v>4095</v>
      </c>
      <c r="O1261" s="13" t="s">
        <v>270</v>
      </c>
      <c r="P1261" s="115" t="s">
        <v>2596</v>
      </c>
      <c r="Q1261" s="8" t="s">
        <v>4107</v>
      </c>
      <c r="R1261" s="2">
        <v>1</v>
      </c>
      <c r="S1261" s="9">
        <v>710</v>
      </c>
      <c r="T1261" s="10">
        <f t="shared" ref="T1261" si="288">(S1261*50)/100*R1261</f>
        <v>355</v>
      </c>
      <c r="U1261" s="9">
        <v>25</v>
      </c>
      <c r="V1261" s="10">
        <f t="shared" ref="V1261" si="289">T1261-U1261</f>
        <v>330</v>
      </c>
      <c r="W1261" s="4" t="s">
        <v>249</v>
      </c>
      <c r="X1261" s="2"/>
      <c r="Y1261" s="11">
        <v>1</v>
      </c>
      <c r="Z1261" s="12">
        <f t="shared" si="273"/>
        <v>2</v>
      </c>
      <c r="AA1261" s="4" t="s">
        <v>174</v>
      </c>
      <c r="AC1261" s="176">
        <f t="shared" si="271"/>
        <v>2.2727272727272728E-2</v>
      </c>
    </row>
    <row r="1262" spans="2:29">
      <c r="B1262" s="183">
        <f t="shared" si="274"/>
        <v>35</v>
      </c>
      <c r="C1262" s="107" t="str">
        <f t="shared" si="275"/>
        <v>ATK</v>
      </c>
      <c r="D1262" s="189" t="s">
        <v>1157</v>
      </c>
      <c r="E1262" s="3">
        <v>44068</v>
      </c>
      <c r="F1262" s="3">
        <v>44070</v>
      </c>
      <c r="G1262" s="108">
        <f t="shared" si="276"/>
        <v>8</v>
      </c>
      <c r="H1262" s="108" t="str">
        <f t="shared" si="277"/>
        <v>완료</v>
      </c>
      <c r="I1262" s="112" t="s">
        <v>264</v>
      </c>
      <c r="J1262" s="4" t="s">
        <v>481</v>
      </c>
      <c r="K1262" s="5" t="s">
        <v>621</v>
      </c>
      <c r="L1262" s="6" t="str">
        <f t="shared" si="272"/>
        <v>2T3</v>
      </c>
      <c r="M1262" s="13" t="s">
        <v>270</v>
      </c>
      <c r="N1262" s="7" t="s">
        <v>4095</v>
      </c>
      <c r="O1262" s="13" t="s">
        <v>270</v>
      </c>
      <c r="P1262" s="115" t="s">
        <v>2536</v>
      </c>
      <c r="Q1262" s="8" t="s">
        <v>4108</v>
      </c>
      <c r="R1262" s="2">
        <v>1</v>
      </c>
      <c r="S1262" s="9">
        <v>710</v>
      </c>
      <c r="T1262" s="10">
        <f t="shared" ref="T1262" si="290">(S1262*50)/100*R1262</f>
        <v>355</v>
      </c>
      <c r="U1262" s="9">
        <v>0</v>
      </c>
      <c r="V1262" s="10">
        <f t="shared" ref="V1262" si="291">T1262-U1262</f>
        <v>355</v>
      </c>
      <c r="W1262" s="4" t="s">
        <v>249</v>
      </c>
      <c r="X1262" s="2"/>
      <c r="Y1262" s="11">
        <v>1</v>
      </c>
      <c r="Z1262" s="12">
        <f t="shared" si="273"/>
        <v>2</v>
      </c>
      <c r="AA1262" s="4" t="s">
        <v>174</v>
      </c>
      <c r="AC1262" s="176">
        <f t="shared" si="271"/>
        <v>0</v>
      </c>
    </row>
    <row r="1263" spans="2:29">
      <c r="B1263" s="183">
        <f t="shared" si="274"/>
        <v>35</v>
      </c>
      <c r="C1263" s="107" t="str">
        <f t="shared" si="275"/>
        <v>ATK</v>
      </c>
      <c r="D1263" s="2" t="s">
        <v>4109</v>
      </c>
      <c r="E1263" s="3">
        <v>44068</v>
      </c>
      <c r="F1263" s="3">
        <v>44070</v>
      </c>
      <c r="G1263" s="108">
        <f t="shared" si="276"/>
        <v>8</v>
      </c>
      <c r="H1263" s="108" t="str">
        <f t="shared" si="277"/>
        <v>완료</v>
      </c>
      <c r="I1263" s="112" t="s">
        <v>4110</v>
      </c>
      <c r="J1263" s="4" t="s">
        <v>481</v>
      </c>
      <c r="K1263" s="5" t="s">
        <v>621</v>
      </c>
      <c r="L1263" s="6" t="str">
        <f t="shared" si="272"/>
        <v>2T3</v>
      </c>
      <c r="M1263" s="13" t="s">
        <v>270</v>
      </c>
      <c r="N1263" s="7" t="s">
        <v>4111</v>
      </c>
      <c r="O1263" s="13" t="s">
        <v>270</v>
      </c>
      <c r="P1263" s="115" t="s">
        <v>2536</v>
      </c>
      <c r="Q1263" s="8" t="s">
        <v>4112</v>
      </c>
      <c r="R1263" s="2">
        <v>1</v>
      </c>
      <c r="S1263" s="9">
        <v>1600</v>
      </c>
      <c r="T1263" s="10">
        <f t="shared" ref="T1263:T1264" si="292">(S1263*50)/100*R1263</f>
        <v>800</v>
      </c>
      <c r="U1263" s="9">
        <v>0</v>
      </c>
      <c r="V1263" s="10">
        <f t="shared" ref="V1263:V1264" si="293">T1263-U1263</f>
        <v>800</v>
      </c>
      <c r="W1263" s="4" t="s">
        <v>249</v>
      </c>
      <c r="X1263" s="2"/>
      <c r="Y1263" s="11">
        <v>1</v>
      </c>
      <c r="Z1263" s="12">
        <f t="shared" si="273"/>
        <v>2</v>
      </c>
      <c r="AA1263" s="4" t="s">
        <v>174</v>
      </c>
      <c r="AC1263" s="176">
        <f t="shared" si="271"/>
        <v>0</v>
      </c>
    </row>
    <row r="1264" spans="2:29">
      <c r="B1264" s="183">
        <f t="shared" si="274"/>
        <v>35</v>
      </c>
      <c r="C1264" s="107" t="str">
        <f t="shared" si="275"/>
        <v>ATK</v>
      </c>
      <c r="D1264" s="189" t="s">
        <v>2958</v>
      </c>
      <c r="E1264" s="3">
        <v>44068</v>
      </c>
      <c r="F1264" s="3">
        <v>44070</v>
      </c>
      <c r="G1264" s="108">
        <f t="shared" si="276"/>
        <v>8</v>
      </c>
      <c r="H1264" s="108" t="str">
        <f t="shared" si="277"/>
        <v>완료</v>
      </c>
      <c r="I1264" s="112" t="s">
        <v>1964</v>
      </c>
      <c r="J1264" s="4" t="s">
        <v>2454</v>
      </c>
      <c r="K1264" s="5" t="s">
        <v>3116</v>
      </c>
      <c r="L1264" s="6" t="str">
        <f t="shared" si="272"/>
        <v>1T4</v>
      </c>
      <c r="M1264" s="13" t="s">
        <v>270</v>
      </c>
      <c r="N1264" s="7" t="s">
        <v>4113</v>
      </c>
      <c r="O1264" s="13" t="s">
        <v>270</v>
      </c>
      <c r="P1264" s="115" t="s">
        <v>2596</v>
      </c>
      <c r="Q1264" s="8" t="s">
        <v>4114</v>
      </c>
      <c r="R1264" s="2">
        <v>1</v>
      </c>
      <c r="S1264" s="9">
        <v>355</v>
      </c>
      <c r="T1264" s="10">
        <f t="shared" si="292"/>
        <v>177.5</v>
      </c>
      <c r="U1264" s="9">
        <v>5</v>
      </c>
      <c r="V1264" s="10">
        <f t="shared" si="293"/>
        <v>172.5</v>
      </c>
      <c r="W1264" s="4" t="s">
        <v>1837</v>
      </c>
      <c r="X1264" s="2"/>
      <c r="Y1264" s="11">
        <v>2</v>
      </c>
      <c r="Z1264" s="12">
        <f t="shared" si="273"/>
        <v>2</v>
      </c>
      <c r="AA1264" s="4" t="s">
        <v>2399</v>
      </c>
      <c r="AC1264" s="176">
        <f t="shared" si="271"/>
        <v>4.5454545454545452E-3</v>
      </c>
    </row>
    <row r="1265" spans="2:29">
      <c r="B1265" s="183">
        <f t="shared" si="274"/>
        <v>41</v>
      </c>
      <c r="C1265" s="107" t="str">
        <f t="shared" si="275"/>
        <v>ATK</v>
      </c>
      <c r="D1265" s="2" t="s">
        <v>1394</v>
      </c>
      <c r="E1265" s="3">
        <v>44070</v>
      </c>
      <c r="F1265" s="3">
        <v>44110</v>
      </c>
      <c r="G1265" s="108">
        <f t="shared" si="276"/>
        <v>10</v>
      </c>
      <c r="H1265" s="108" t="str">
        <f t="shared" si="277"/>
        <v>완료</v>
      </c>
      <c r="I1265" s="112" t="s">
        <v>218</v>
      </c>
      <c r="J1265" s="4" t="s">
        <v>118</v>
      </c>
      <c r="K1265" s="5" t="s">
        <v>134</v>
      </c>
      <c r="L1265" s="6" t="str">
        <f t="shared" si="272"/>
        <v>2T1</v>
      </c>
      <c r="M1265" s="13" t="s">
        <v>4115</v>
      </c>
      <c r="N1265" s="7" t="s">
        <v>4116</v>
      </c>
      <c r="O1265" s="13" t="s">
        <v>4117</v>
      </c>
      <c r="P1265" s="115" t="s">
        <v>4118</v>
      </c>
      <c r="Q1265" s="8"/>
      <c r="R1265" s="2">
        <v>1</v>
      </c>
      <c r="S1265" s="9">
        <v>2500</v>
      </c>
      <c r="T1265" s="10">
        <f t="shared" si="282"/>
        <v>1250</v>
      </c>
      <c r="U1265" s="9"/>
      <c r="V1265" s="10">
        <f t="shared" si="283"/>
        <v>1250</v>
      </c>
      <c r="W1265" s="4" t="s">
        <v>122</v>
      </c>
      <c r="X1265" s="2"/>
      <c r="Y1265" s="11">
        <v>6</v>
      </c>
      <c r="Z1265" s="12">
        <f t="shared" si="273"/>
        <v>40</v>
      </c>
      <c r="AA1265" s="4" t="s">
        <v>120</v>
      </c>
      <c r="AC1265" s="176">
        <f t="shared" si="271"/>
        <v>0</v>
      </c>
    </row>
    <row r="1266" spans="2:29">
      <c r="B1266" s="183">
        <f t="shared" si="274"/>
        <v>35</v>
      </c>
      <c r="C1266" s="107" t="str">
        <f t="shared" si="275"/>
        <v>ATK</v>
      </c>
      <c r="D1266" s="2" t="s">
        <v>4041</v>
      </c>
      <c r="E1266" s="3">
        <v>44067</v>
      </c>
      <c r="F1266" s="3">
        <v>44070</v>
      </c>
      <c r="G1266" s="108">
        <f t="shared" si="276"/>
        <v>8</v>
      </c>
      <c r="H1266" s="108" t="str">
        <f t="shared" si="277"/>
        <v>Other</v>
      </c>
      <c r="I1266" s="112" t="s">
        <v>251</v>
      </c>
      <c r="J1266" s="4" t="s">
        <v>31</v>
      </c>
      <c r="K1266" s="5" t="s">
        <v>31</v>
      </c>
      <c r="L1266" s="6" t="str">
        <f t="shared" si="272"/>
        <v>Oth</v>
      </c>
      <c r="M1266" s="13" t="s">
        <v>4042</v>
      </c>
      <c r="N1266" s="7" t="s">
        <v>4042</v>
      </c>
      <c r="O1266" s="13" t="s">
        <v>4119</v>
      </c>
      <c r="P1266" s="115"/>
      <c r="Q1266" s="8"/>
      <c r="R1266" s="2">
        <v>1</v>
      </c>
      <c r="S1266" s="9">
        <v>0</v>
      </c>
      <c r="T1266" s="10">
        <f t="shared" ref="T1266" si="294">(S1266*50)/100*R1266</f>
        <v>0</v>
      </c>
      <c r="U1266" s="9">
        <v>0</v>
      </c>
      <c r="V1266" s="10">
        <f t="shared" ref="V1266" si="295">T1266-U1266</f>
        <v>0</v>
      </c>
      <c r="W1266" s="4" t="s">
        <v>122</v>
      </c>
      <c r="X1266" s="2"/>
      <c r="Y1266" s="11">
        <v>4</v>
      </c>
      <c r="Z1266" s="12">
        <f t="shared" si="273"/>
        <v>3</v>
      </c>
      <c r="AA1266" s="4" t="s">
        <v>27</v>
      </c>
      <c r="AC1266" s="176">
        <f t="shared" ref="AC1266:AC1329" si="296">U1266/1100</f>
        <v>0</v>
      </c>
    </row>
    <row r="1267" spans="2:29">
      <c r="B1267" s="183">
        <f t="shared" si="274"/>
        <v>35</v>
      </c>
      <c r="C1267" s="107" t="str">
        <f t="shared" si="275"/>
        <v>ATK</v>
      </c>
      <c r="D1267" s="2" t="s">
        <v>4120</v>
      </c>
      <c r="E1267" s="3">
        <v>44070</v>
      </c>
      <c r="F1267" s="3">
        <v>44070</v>
      </c>
      <c r="G1267" s="108">
        <f t="shared" si="276"/>
        <v>8</v>
      </c>
      <c r="H1267" s="108" t="str">
        <f t="shared" si="277"/>
        <v>Other</v>
      </c>
      <c r="I1267" s="112" t="s">
        <v>251</v>
      </c>
      <c r="J1267" s="4" t="s">
        <v>4121</v>
      </c>
      <c r="K1267" s="5" t="s">
        <v>4121</v>
      </c>
      <c r="L1267" s="6" t="str">
        <f t="shared" si="272"/>
        <v>QA</v>
      </c>
      <c r="M1267" s="13" t="s">
        <v>226</v>
      </c>
      <c r="N1267" s="7" t="s">
        <v>4122</v>
      </c>
      <c r="O1267" s="7" t="s">
        <v>4122</v>
      </c>
      <c r="P1267" s="115"/>
      <c r="Q1267" s="8"/>
      <c r="R1267" s="2">
        <v>1</v>
      </c>
      <c r="S1267" s="9">
        <v>0</v>
      </c>
      <c r="T1267" s="10">
        <f t="shared" si="282"/>
        <v>0</v>
      </c>
      <c r="U1267" s="9">
        <v>0</v>
      </c>
      <c r="V1267" s="10">
        <f t="shared" si="283"/>
        <v>0</v>
      </c>
      <c r="W1267" s="4" t="s">
        <v>122</v>
      </c>
      <c r="X1267" s="2"/>
      <c r="Y1267" s="11">
        <v>2</v>
      </c>
      <c r="Z1267" s="12">
        <f t="shared" si="273"/>
        <v>0</v>
      </c>
      <c r="AA1267" s="4" t="s">
        <v>27</v>
      </c>
      <c r="AC1267" s="176">
        <f t="shared" si="296"/>
        <v>0</v>
      </c>
    </row>
    <row r="1268" spans="2:29">
      <c r="B1268" s="183">
        <f t="shared" si="274"/>
        <v>35</v>
      </c>
      <c r="C1268" s="107" t="str">
        <f t="shared" si="275"/>
        <v>ATK</v>
      </c>
      <c r="D1268" s="2" t="s">
        <v>1222</v>
      </c>
      <c r="E1268" s="3">
        <v>44070</v>
      </c>
      <c r="F1268" s="3">
        <v>44071</v>
      </c>
      <c r="G1268" s="108">
        <f t="shared" si="276"/>
        <v>8</v>
      </c>
      <c r="H1268" s="108" t="str">
        <f t="shared" si="277"/>
        <v>완료</v>
      </c>
      <c r="I1268" s="112" t="s">
        <v>218</v>
      </c>
      <c r="J1268" s="4" t="s">
        <v>118</v>
      </c>
      <c r="K1268" s="5" t="s">
        <v>137</v>
      </c>
      <c r="L1268" s="6" t="str">
        <f t="shared" si="272"/>
        <v>2T2</v>
      </c>
      <c r="M1268" s="13" t="s">
        <v>256</v>
      </c>
      <c r="N1268" s="7" t="s">
        <v>4123</v>
      </c>
      <c r="O1268" s="13" t="s">
        <v>482</v>
      </c>
      <c r="P1268" s="115" t="s">
        <v>944</v>
      </c>
      <c r="Q1268" s="8"/>
      <c r="R1268" s="2">
        <v>1</v>
      </c>
      <c r="S1268" s="9">
        <v>1600</v>
      </c>
      <c r="T1268" s="10">
        <f t="shared" si="282"/>
        <v>800</v>
      </c>
      <c r="U1268" s="9">
        <v>1</v>
      </c>
      <c r="V1268" s="10">
        <f t="shared" si="283"/>
        <v>799</v>
      </c>
      <c r="W1268" s="4" t="s">
        <v>4126</v>
      </c>
      <c r="X1268" s="2"/>
      <c r="Y1268" s="11">
        <v>1</v>
      </c>
      <c r="Z1268" s="12">
        <f t="shared" si="273"/>
        <v>1</v>
      </c>
      <c r="AA1268" s="4" t="s">
        <v>117</v>
      </c>
      <c r="AC1268" s="176">
        <f t="shared" si="296"/>
        <v>9.0909090909090909E-4</v>
      </c>
    </row>
    <row r="1269" spans="2:29" ht="24">
      <c r="B1269" s="183">
        <f t="shared" si="274"/>
        <v>36</v>
      </c>
      <c r="C1269" s="107" t="str">
        <f t="shared" si="275"/>
        <v>ATK</v>
      </c>
      <c r="D1269" s="2" t="s">
        <v>2275</v>
      </c>
      <c r="E1269" s="3">
        <v>44071</v>
      </c>
      <c r="F1269" s="3">
        <v>44076</v>
      </c>
      <c r="G1269" s="108">
        <f t="shared" si="276"/>
        <v>9</v>
      </c>
      <c r="H1269" s="108" t="str">
        <f t="shared" si="277"/>
        <v>완료</v>
      </c>
      <c r="I1269" s="112" t="s">
        <v>218</v>
      </c>
      <c r="J1269" s="4" t="s">
        <v>243</v>
      </c>
      <c r="K1269" s="5" t="s">
        <v>243</v>
      </c>
      <c r="L1269" s="6" t="str">
        <f t="shared" si="272"/>
        <v>K5</v>
      </c>
      <c r="M1269" s="13" t="s">
        <v>4127</v>
      </c>
      <c r="N1269" s="7" t="s">
        <v>4128</v>
      </c>
      <c r="O1269" s="13" t="s">
        <v>4129</v>
      </c>
      <c r="P1269" s="115" t="s">
        <v>4186</v>
      </c>
      <c r="Q1269" s="8" t="s">
        <v>4130</v>
      </c>
      <c r="R1269" s="2">
        <v>1</v>
      </c>
      <c r="S1269" s="9">
        <v>12000</v>
      </c>
      <c r="T1269" s="10">
        <f t="shared" si="282"/>
        <v>6000</v>
      </c>
      <c r="U1269" s="9"/>
      <c r="V1269" s="10">
        <f t="shared" si="283"/>
        <v>6000</v>
      </c>
      <c r="W1269" s="4" t="s">
        <v>122</v>
      </c>
      <c r="X1269" s="2"/>
      <c r="Y1269" s="11">
        <v>20</v>
      </c>
      <c r="Z1269" s="12">
        <f t="shared" si="273"/>
        <v>5</v>
      </c>
      <c r="AA1269" s="4" t="s">
        <v>120</v>
      </c>
      <c r="AC1269" s="176">
        <f t="shared" si="296"/>
        <v>0</v>
      </c>
    </row>
    <row r="1270" spans="2:29">
      <c r="B1270" s="183">
        <f t="shared" si="274"/>
        <v>36</v>
      </c>
      <c r="C1270" s="107" t="str">
        <f t="shared" si="275"/>
        <v>ATK</v>
      </c>
      <c r="D1270" s="2" t="s">
        <v>4131</v>
      </c>
      <c r="E1270" s="3">
        <v>44074</v>
      </c>
      <c r="F1270" s="3">
        <v>44074</v>
      </c>
      <c r="G1270" s="108">
        <f t="shared" si="276"/>
        <v>8</v>
      </c>
      <c r="H1270" s="108" t="str">
        <f t="shared" si="277"/>
        <v>완료</v>
      </c>
      <c r="I1270" s="112" t="s">
        <v>218</v>
      </c>
      <c r="J1270" s="4" t="s">
        <v>4132</v>
      </c>
      <c r="K1270" s="5" t="s">
        <v>4133</v>
      </c>
      <c r="L1270" s="6" t="str">
        <f t="shared" si="272"/>
        <v>EE2</v>
      </c>
      <c r="M1270" s="13" t="s">
        <v>256</v>
      </c>
      <c r="N1270" s="7" t="s">
        <v>4134</v>
      </c>
      <c r="O1270" s="13" t="s">
        <v>1584</v>
      </c>
      <c r="P1270" s="115" t="s">
        <v>4135</v>
      </c>
      <c r="Q1270" s="8"/>
      <c r="R1270" s="2">
        <v>1</v>
      </c>
      <c r="S1270" s="9">
        <v>3500</v>
      </c>
      <c r="T1270" s="10">
        <f t="shared" si="282"/>
        <v>1750</v>
      </c>
      <c r="U1270" s="9">
        <v>50</v>
      </c>
      <c r="V1270" s="10">
        <f t="shared" si="283"/>
        <v>1700</v>
      </c>
      <c r="W1270" s="4" t="s">
        <v>122</v>
      </c>
      <c r="X1270" s="2"/>
      <c r="Y1270" s="11">
        <v>2</v>
      </c>
      <c r="Z1270" s="12">
        <f t="shared" si="273"/>
        <v>0</v>
      </c>
      <c r="AA1270" s="4" t="s">
        <v>4136</v>
      </c>
      <c r="AC1270" s="176">
        <f t="shared" si="296"/>
        <v>4.5454545454545456E-2</v>
      </c>
    </row>
    <row r="1271" spans="2:29">
      <c r="B1271" s="183">
        <f t="shared" si="274"/>
        <v>36</v>
      </c>
      <c r="C1271" s="107" t="str">
        <f t="shared" si="275"/>
        <v>ATK</v>
      </c>
      <c r="D1271" s="2" t="s">
        <v>4137</v>
      </c>
      <c r="E1271" s="3">
        <v>44074</v>
      </c>
      <c r="F1271" s="3">
        <v>44077</v>
      </c>
      <c r="G1271" s="108">
        <f t="shared" si="276"/>
        <v>9</v>
      </c>
      <c r="H1271" s="108" t="str">
        <f t="shared" si="277"/>
        <v>완료</v>
      </c>
      <c r="I1271" s="112" t="s">
        <v>218</v>
      </c>
      <c r="J1271" s="4" t="s">
        <v>121</v>
      </c>
      <c r="K1271" s="5" t="s">
        <v>136</v>
      </c>
      <c r="L1271" s="6" t="str">
        <f t="shared" si="272"/>
        <v>5T1</v>
      </c>
      <c r="M1271" s="13" t="s">
        <v>242</v>
      </c>
      <c r="N1271" s="7" t="s">
        <v>226</v>
      </c>
      <c r="O1271" s="13" t="s">
        <v>4138</v>
      </c>
      <c r="P1271" s="115" t="s">
        <v>4139</v>
      </c>
      <c r="Q1271" s="8"/>
      <c r="R1271" s="2">
        <v>2</v>
      </c>
      <c r="S1271" s="9">
        <v>600</v>
      </c>
      <c r="T1271" s="10">
        <f t="shared" si="282"/>
        <v>600</v>
      </c>
      <c r="U1271" s="9">
        <v>10</v>
      </c>
      <c r="V1271" s="10">
        <f t="shared" si="283"/>
        <v>590</v>
      </c>
      <c r="W1271" s="4" t="s">
        <v>122</v>
      </c>
      <c r="X1271" s="2"/>
      <c r="Y1271" s="11">
        <v>4</v>
      </c>
      <c r="Z1271" s="12">
        <f t="shared" si="273"/>
        <v>3</v>
      </c>
      <c r="AA1271" s="4" t="s">
        <v>27</v>
      </c>
      <c r="AC1271" s="176">
        <f t="shared" si="296"/>
        <v>9.0909090909090905E-3</v>
      </c>
    </row>
    <row r="1272" spans="2:29">
      <c r="B1272" s="183">
        <f t="shared" si="274"/>
        <v>38</v>
      </c>
      <c r="C1272" s="107" t="str">
        <f t="shared" si="275"/>
        <v>ATK</v>
      </c>
      <c r="D1272" s="2" t="s">
        <v>4137</v>
      </c>
      <c r="E1272" s="3">
        <v>44074</v>
      </c>
      <c r="F1272" s="3">
        <v>44090</v>
      </c>
      <c r="G1272" s="108">
        <f t="shared" si="276"/>
        <v>9</v>
      </c>
      <c r="H1272" s="108" t="str">
        <f t="shared" si="277"/>
        <v>완료</v>
      </c>
      <c r="I1272" s="112" t="s">
        <v>218</v>
      </c>
      <c r="J1272" s="4" t="s">
        <v>121</v>
      </c>
      <c r="K1272" s="5" t="s">
        <v>136</v>
      </c>
      <c r="L1272" s="6" t="str">
        <f t="shared" si="272"/>
        <v>5T1</v>
      </c>
      <c r="M1272" s="13" t="s">
        <v>242</v>
      </c>
      <c r="N1272" s="7" t="s">
        <v>226</v>
      </c>
      <c r="O1272" s="13" t="s">
        <v>4140</v>
      </c>
      <c r="P1272" s="115" t="s">
        <v>4139</v>
      </c>
      <c r="Q1272" s="8"/>
      <c r="R1272" s="2">
        <v>1</v>
      </c>
      <c r="S1272" s="9">
        <v>600</v>
      </c>
      <c r="T1272" s="10">
        <f t="shared" si="282"/>
        <v>300</v>
      </c>
      <c r="U1272" s="9">
        <v>5</v>
      </c>
      <c r="V1272" s="10">
        <f t="shared" si="283"/>
        <v>295</v>
      </c>
      <c r="W1272" s="4" t="s">
        <v>122</v>
      </c>
      <c r="X1272" s="2"/>
      <c r="Y1272" s="11">
        <v>2</v>
      </c>
      <c r="Z1272" s="12">
        <f t="shared" si="273"/>
        <v>16</v>
      </c>
      <c r="AA1272" s="4" t="s">
        <v>27</v>
      </c>
      <c r="AC1272" s="176">
        <f t="shared" si="296"/>
        <v>4.5454545454545452E-3</v>
      </c>
    </row>
    <row r="1273" spans="2:29">
      <c r="B1273" s="183">
        <f t="shared" si="274"/>
        <v>36</v>
      </c>
      <c r="C1273" s="107" t="str">
        <f t="shared" si="275"/>
        <v>ATK</v>
      </c>
      <c r="D1273" s="2" t="s">
        <v>593</v>
      </c>
      <c r="E1273" s="3">
        <v>44075</v>
      </c>
      <c r="F1273" s="3">
        <v>44075</v>
      </c>
      <c r="G1273" s="108">
        <f t="shared" si="276"/>
        <v>9</v>
      </c>
      <c r="H1273" s="108" t="str">
        <f t="shared" si="277"/>
        <v>완료</v>
      </c>
      <c r="I1273" s="112" t="s">
        <v>218</v>
      </c>
      <c r="J1273" s="4" t="s">
        <v>115</v>
      </c>
      <c r="K1273" s="5" t="s">
        <v>116</v>
      </c>
      <c r="L1273" s="6" t="str">
        <f t="shared" si="272"/>
        <v>EE2</v>
      </c>
      <c r="M1273" s="13" t="s">
        <v>913</v>
      </c>
      <c r="N1273" s="7" t="s">
        <v>4141</v>
      </c>
      <c r="O1273" s="13" t="s">
        <v>648</v>
      </c>
      <c r="P1273" s="115" t="s">
        <v>4142</v>
      </c>
      <c r="Q1273" s="8" t="s">
        <v>597</v>
      </c>
      <c r="R1273" s="2">
        <v>1</v>
      </c>
      <c r="S1273" s="9">
        <v>70</v>
      </c>
      <c r="T1273" s="10">
        <f t="shared" si="282"/>
        <v>35</v>
      </c>
      <c r="U1273" s="9">
        <v>0</v>
      </c>
      <c r="V1273" s="10">
        <f t="shared" si="283"/>
        <v>35</v>
      </c>
      <c r="W1273" s="4" t="s">
        <v>122</v>
      </c>
      <c r="X1273" s="2"/>
      <c r="Y1273" s="11">
        <v>2</v>
      </c>
      <c r="Z1273" s="12">
        <f t="shared" si="273"/>
        <v>0</v>
      </c>
      <c r="AA1273" s="4" t="s">
        <v>120</v>
      </c>
      <c r="AC1273" s="176">
        <f t="shared" si="296"/>
        <v>0</v>
      </c>
    </row>
    <row r="1274" spans="2:29">
      <c r="B1274" s="183">
        <f t="shared" si="274"/>
        <v>36</v>
      </c>
      <c r="C1274" s="107" t="str">
        <f t="shared" si="275"/>
        <v>ATK</v>
      </c>
      <c r="D1274" s="2" t="s">
        <v>4143</v>
      </c>
      <c r="E1274" s="3">
        <v>44074</v>
      </c>
      <c r="F1274" s="3">
        <v>44075</v>
      </c>
      <c r="G1274" s="108">
        <f t="shared" si="276"/>
        <v>9</v>
      </c>
      <c r="H1274" s="108" t="str">
        <f t="shared" si="277"/>
        <v>완료</v>
      </c>
      <c r="I1274" s="112" t="s">
        <v>218</v>
      </c>
      <c r="J1274" s="4" t="s">
        <v>118</v>
      </c>
      <c r="K1274" s="5" t="s">
        <v>119</v>
      </c>
      <c r="L1274" s="6" t="str">
        <f t="shared" si="272"/>
        <v>2T3</v>
      </c>
      <c r="M1274" s="13" t="s">
        <v>4144</v>
      </c>
      <c r="N1274" s="7" t="s">
        <v>4145</v>
      </c>
      <c r="O1274" s="13" t="s">
        <v>4146</v>
      </c>
      <c r="P1274" s="115" t="s">
        <v>4147</v>
      </c>
      <c r="Q1274" s="8"/>
      <c r="R1274" s="2">
        <v>1</v>
      </c>
      <c r="S1274" s="9">
        <v>2000</v>
      </c>
      <c r="T1274" s="10">
        <f t="shared" si="282"/>
        <v>1000</v>
      </c>
      <c r="U1274" s="9">
        <v>20</v>
      </c>
      <c r="V1274" s="10">
        <f t="shared" si="283"/>
        <v>980</v>
      </c>
      <c r="W1274" s="4" t="s">
        <v>122</v>
      </c>
      <c r="X1274" s="2"/>
      <c r="Y1274" s="11">
        <v>5</v>
      </c>
      <c r="Z1274" s="12">
        <f t="shared" si="273"/>
        <v>1</v>
      </c>
      <c r="AA1274" s="4" t="s">
        <v>259</v>
      </c>
      <c r="AC1274" s="176">
        <f t="shared" si="296"/>
        <v>1.8181818181818181E-2</v>
      </c>
    </row>
    <row r="1275" spans="2:29">
      <c r="B1275" s="183">
        <f t="shared" si="274"/>
        <v>36</v>
      </c>
      <c r="C1275" s="107" t="str">
        <f t="shared" si="275"/>
        <v>ATK</v>
      </c>
      <c r="D1275" s="2" t="s">
        <v>4148</v>
      </c>
      <c r="E1275" s="3">
        <v>44074</v>
      </c>
      <c r="F1275" s="3">
        <v>44075</v>
      </c>
      <c r="G1275" s="108">
        <f t="shared" si="276"/>
        <v>9</v>
      </c>
      <c r="H1275" s="108" t="str">
        <f t="shared" si="277"/>
        <v>완료</v>
      </c>
      <c r="I1275" s="112" t="s">
        <v>4149</v>
      </c>
      <c r="J1275" s="4" t="s">
        <v>4150</v>
      </c>
      <c r="K1275" s="5" t="s">
        <v>4151</v>
      </c>
      <c r="L1275" s="6" t="str">
        <f t="shared" si="272"/>
        <v>6T2</v>
      </c>
      <c r="M1275" s="13" t="s">
        <v>4152</v>
      </c>
      <c r="N1275" s="7" t="s">
        <v>4156</v>
      </c>
      <c r="O1275" s="13" t="s">
        <v>3275</v>
      </c>
      <c r="P1275" s="115" t="s">
        <v>4153</v>
      </c>
      <c r="Q1275" s="8"/>
      <c r="R1275" s="2">
        <v>1</v>
      </c>
      <c r="S1275" s="9">
        <v>4000</v>
      </c>
      <c r="T1275" s="10">
        <f t="shared" si="282"/>
        <v>2000</v>
      </c>
      <c r="U1275" s="9">
        <v>5</v>
      </c>
      <c r="V1275" s="10">
        <f t="shared" si="283"/>
        <v>1995</v>
      </c>
      <c r="W1275" s="4" t="s">
        <v>4154</v>
      </c>
      <c r="X1275" s="2"/>
      <c r="Y1275" s="11">
        <v>4</v>
      </c>
      <c r="Z1275" s="12">
        <f t="shared" si="273"/>
        <v>1</v>
      </c>
      <c r="AA1275" s="4" t="s">
        <v>4155</v>
      </c>
      <c r="AC1275" s="176">
        <f t="shared" si="296"/>
        <v>4.5454545454545452E-3</v>
      </c>
    </row>
    <row r="1276" spans="2:29">
      <c r="B1276" s="183">
        <f t="shared" si="274"/>
        <v>36</v>
      </c>
      <c r="C1276" s="107" t="str">
        <f t="shared" si="275"/>
        <v>ATK</v>
      </c>
      <c r="D1276" s="2" t="s">
        <v>4157</v>
      </c>
      <c r="E1276" s="3">
        <v>44075</v>
      </c>
      <c r="F1276" s="3">
        <v>44075</v>
      </c>
      <c r="G1276" s="108">
        <f t="shared" si="276"/>
        <v>9</v>
      </c>
      <c r="H1276" s="108" t="str">
        <f t="shared" si="277"/>
        <v>완료</v>
      </c>
      <c r="I1276" s="112" t="s">
        <v>218</v>
      </c>
      <c r="J1276" s="4" t="s">
        <v>121</v>
      </c>
      <c r="K1276" s="5" t="s">
        <v>136</v>
      </c>
      <c r="L1276" s="6" t="str">
        <f t="shared" si="272"/>
        <v>5T1</v>
      </c>
      <c r="M1276" s="13" t="s">
        <v>242</v>
      </c>
      <c r="N1276" s="7" t="s">
        <v>4158</v>
      </c>
      <c r="O1276" s="13" t="s">
        <v>284</v>
      </c>
      <c r="P1276" s="115" t="s">
        <v>4159</v>
      </c>
      <c r="Q1276" s="8"/>
      <c r="R1276" s="2">
        <v>1</v>
      </c>
      <c r="S1276" s="9">
        <v>1200</v>
      </c>
      <c r="T1276" s="10">
        <f t="shared" si="282"/>
        <v>600</v>
      </c>
      <c r="U1276" s="9">
        <v>10</v>
      </c>
      <c r="V1276" s="10">
        <f t="shared" si="283"/>
        <v>590</v>
      </c>
      <c r="W1276" s="4" t="s">
        <v>122</v>
      </c>
      <c r="X1276" s="2"/>
      <c r="Y1276" s="11">
        <v>3</v>
      </c>
      <c r="Z1276" s="12">
        <f t="shared" si="273"/>
        <v>0</v>
      </c>
      <c r="AA1276" s="4" t="s">
        <v>259</v>
      </c>
      <c r="AC1276" s="176">
        <f t="shared" si="296"/>
        <v>9.0909090909090905E-3</v>
      </c>
    </row>
    <row r="1277" spans="2:29">
      <c r="B1277" s="183">
        <f t="shared" si="274"/>
        <v>36</v>
      </c>
      <c r="C1277" s="107" t="str">
        <f t="shared" si="275"/>
        <v>ATK</v>
      </c>
      <c r="D1277" s="2" t="s">
        <v>237</v>
      </c>
      <c r="E1277" s="3">
        <v>44075</v>
      </c>
      <c r="F1277" s="3">
        <v>44075</v>
      </c>
      <c r="G1277" s="108">
        <f t="shared" si="276"/>
        <v>9</v>
      </c>
      <c r="H1277" s="108" t="str">
        <f t="shared" si="277"/>
        <v>완료</v>
      </c>
      <c r="I1277" s="112" t="s">
        <v>218</v>
      </c>
      <c r="J1277" s="4" t="s">
        <v>121</v>
      </c>
      <c r="K1277" s="5" t="s">
        <v>466</v>
      </c>
      <c r="L1277" s="6" t="str">
        <f t="shared" si="272"/>
        <v>6T2</v>
      </c>
      <c r="M1277" s="13" t="s">
        <v>213</v>
      </c>
      <c r="N1277" s="7" t="s">
        <v>4160</v>
      </c>
      <c r="O1277" s="13" t="s">
        <v>4161</v>
      </c>
      <c r="P1277" s="115" t="s">
        <v>4162</v>
      </c>
      <c r="Q1277" s="8" t="s">
        <v>4163</v>
      </c>
      <c r="R1277" s="2">
        <v>1</v>
      </c>
      <c r="S1277" s="9">
        <v>920</v>
      </c>
      <c r="T1277" s="10">
        <f t="shared" si="282"/>
        <v>460</v>
      </c>
      <c r="U1277" s="9">
        <v>0</v>
      </c>
      <c r="V1277" s="10">
        <f t="shared" si="283"/>
        <v>460</v>
      </c>
      <c r="W1277" s="4" t="s">
        <v>122</v>
      </c>
      <c r="X1277" s="2"/>
      <c r="Y1277" s="11">
        <v>3</v>
      </c>
      <c r="Z1277" s="12">
        <f t="shared" si="273"/>
        <v>0</v>
      </c>
      <c r="AA1277" s="4" t="s">
        <v>120</v>
      </c>
      <c r="AC1277" s="176">
        <f t="shared" si="296"/>
        <v>0</v>
      </c>
    </row>
    <row r="1278" spans="2:29">
      <c r="B1278" s="183">
        <f t="shared" si="274"/>
        <v>36</v>
      </c>
      <c r="C1278" s="107" t="str">
        <f t="shared" si="275"/>
        <v>ATK</v>
      </c>
      <c r="D1278" s="2" t="s">
        <v>4164</v>
      </c>
      <c r="E1278" s="3">
        <v>44075</v>
      </c>
      <c r="F1278" s="3">
        <v>44077</v>
      </c>
      <c r="G1278" s="108">
        <f t="shared" si="276"/>
        <v>9</v>
      </c>
      <c r="H1278" s="108" t="str">
        <f t="shared" si="277"/>
        <v>완료</v>
      </c>
      <c r="I1278" s="112" t="s">
        <v>218</v>
      </c>
      <c r="J1278" s="4" t="s">
        <v>4167</v>
      </c>
      <c r="K1278" s="5" t="s">
        <v>4168</v>
      </c>
      <c r="L1278" s="6" t="str">
        <f t="shared" si="272"/>
        <v>EE2</v>
      </c>
      <c r="M1278" s="13" t="s">
        <v>256</v>
      </c>
      <c r="N1278" s="7" t="s">
        <v>4169</v>
      </c>
      <c r="O1278" s="13" t="s">
        <v>478</v>
      </c>
      <c r="P1278" s="115" t="s">
        <v>479</v>
      </c>
      <c r="Q1278" s="8"/>
      <c r="R1278" s="2">
        <v>1</v>
      </c>
      <c r="S1278" s="9">
        <v>1600</v>
      </c>
      <c r="T1278" s="10">
        <f t="shared" si="282"/>
        <v>800</v>
      </c>
      <c r="U1278" s="9">
        <v>10</v>
      </c>
      <c r="V1278" s="10">
        <f t="shared" si="283"/>
        <v>790</v>
      </c>
      <c r="W1278" s="4" t="s">
        <v>122</v>
      </c>
      <c r="X1278" s="2"/>
      <c r="Y1278" s="11">
        <v>4</v>
      </c>
      <c r="Z1278" s="12">
        <f t="shared" si="273"/>
        <v>2</v>
      </c>
      <c r="AA1278" s="4" t="s">
        <v>4166</v>
      </c>
      <c r="AC1278" s="176">
        <f t="shared" si="296"/>
        <v>9.0909090909090905E-3</v>
      </c>
    </row>
    <row r="1279" spans="2:29">
      <c r="B1279" s="183">
        <f t="shared" si="274"/>
        <v>36</v>
      </c>
      <c r="C1279" s="107" t="str">
        <f t="shared" si="275"/>
        <v>ATK</v>
      </c>
      <c r="D1279" s="2" t="s">
        <v>453</v>
      </c>
      <c r="E1279" s="3">
        <v>44074</v>
      </c>
      <c r="F1279" s="3">
        <v>44075</v>
      </c>
      <c r="G1279" s="108">
        <f t="shared" si="276"/>
        <v>9</v>
      </c>
      <c r="H1279" s="108" t="str">
        <f t="shared" si="277"/>
        <v>완료</v>
      </c>
      <c r="I1279" s="112" t="s">
        <v>218</v>
      </c>
      <c r="J1279" s="4" t="s">
        <v>118</v>
      </c>
      <c r="K1279" s="5" t="s">
        <v>134</v>
      </c>
      <c r="L1279" s="6" t="str">
        <f t="shared" si="272"/>
        <v>2T1</v>
      </c>
      <c r="M1279" s="13" t="s">
        <v>2217</v>
      </c>
      <c r="N1279" s="7" t="s">
        <v>3990</v>
      </c>
      <c r="O1279" s="13" t="s">
        <v>3991</v>
      </c>
      <c r="P1279" s="115" t="s">
        <v>4165</v>
      </c>
      <c r="Q1279" s="8"/>
      <c r="R1279" s="2">
        <v>1</v>
      </c>
      <c r="S1279" s="9">
        <v>30000</v>
      </c>
      <c r="T1279" s="10">
        <f t="shared" si="282"/>
        <v>15000</v>
      </c>
      <c r="U1279" s="9">
        <v>2</v>
      </c>
      <c r="V1279" s="10">
        <f t="shared" si="283"/>
        <v>14998</v>
      </c>
      <c r="W1279" s="4" t="s">
        <v>122</v>
      </c>
      <c r="X1279" s="2"/>
      <c r="Y1279" s="11">
        <v>3</v>
      </c>
      <c r="Z1279" s="12">
        <f t="shared" si="273"/>
        <v>1</v>
      </c>
      <c r="AA1279" s="4" t="s">
        <v>4166</v>
      </c>
      <c r="AC1279" s="176">
        <f t="shared" si="296"/>
        <v>1.8181818181818182E-3</v>
      </c>
    </row>
    <row r="1280" spans="2:29">
      <c r="B1280" s="183">
        <f t="shared" si="274"/>
        <v>36</v>
      </c>
      <c r="C1280" s="107" t="str">
        <f t="shared" si="275"/>
        <v>ATK</v>
      </c>
      <c r="D1280" s="2" t="s">
        <v>4170</v>
      </c>
      <c r="E1280" s="3">
        <v>44074</v>
      </c>
      <c r="F1280" s="3">
        <v>44074</v>
      </c>
      <c r="G1280" s="108">
        <f t="shared" si="276"/>
        <v>8</v>
      </c>
      <c r="H1280" s="108" t="str">
        <f t="shared" si="277"/>
        <v>완료</v>
      </c>
      <c r="I1280" s="112" t="s">
        <v>218</v>
      </c>
      <c r="J1280" s="4" t="s">
        <v>115</v>
      </c>
      <c r="K1280" s="5" t="s">
        <v>138</v>
      </c>
      <c r="L1280" s="6" t="str">
        <f t="shared" si="272"/>
        <v>EE1</v>
      </c>
      <c r="M1280" s="13" t="s">
        <v>4171</v>
      </c>
      <c r="N1280" s="7" t="s">
        <v>4172</v>
      </c>
      <c r="O1280" s="13" t="s">
        <v>4173</v>
      </c>
      <c r="P1280" s="115" t="s">
        <v>227</v>
      </c>
      <c r="Q1280" s="8"/>
      <c r="R1280" s="2">
        <v>1</v>
      </c>
      <c r="S1280" s="9">
        <v>1000</v>
      </c>
      <c r="T1280" s="10">
        <f t="shared" si="282"/>
        <v>500</v>
      </c>
      <c r="U1280" s="9">
        <v>100</v>
      </c>
      <c r="V1280" s="10">
        <f t="shared" si="283"/>
        <v>400</v>
      </c>
      <c r="W1280" s="4" t="s">
        <v>122</v>
      </c>
      <c r="X1280" s="2"/>
      <c r="Y1280" s="11">
        <v>4</v>
      </c>
      <c r="Z1280" s="12">
        <f t="shared" si="273"/>
        <v>0</v>
      </c>
      <c r="AA1280" s="4" t="s">
        <v>212</v>
      </c>
      <c r="AC1280" s="176">
        <f t="shared" si="296"/>
        <v>9.0909090909090912E-2</v>
      </c>
    </row>
    <row r="1281" spans="2:29">
      <c r="B1281" s="183">
        <f t="shared" si="274"/>
        <v>36</v>
      </c>
      <c r="C1281" s="107" t="str">
        <f t="shared" si="275"/>
        <v>ATK</v>
      </c>
      <c r="D1281" s="2" t="s">
        <v>4174</v>
      </c>
      <c r="E1281" s="3">
        <v>44074</v>
      </c>
      <c r="F1281" s="3">
        <v>44075</v>
      </c>
      <c r="G1281" s="108">
        <f t="shared" si="276"/>
        <v>9</v>
      </c>
      <c r="H1281" s="108" t="str">
        <f t="shared" si="277"/>
        <v>완료</v>
      </c>
      <c r="I1281" s="112" t="s">
        <v>218</v>
      </c>
      <c r="J1281" s="4" t="s">
        <v>118</v>
      </c>
      <c r="K1281" s="5" t="s">
        <v>119</v>
      </c>
      <c r="L1281" s="6" t="str">
        <f t="shared" ref="L1281:L1344" si="297">LEFT(K1281,3)</f>
        <v>2T3</v>
      </c>
      <c r="M1281" s="13" t="s">
        <v>3223</v>
      </c>
      <c r="N1281" s="7" t="s">
        <v>3929</v>
      </c>
      <c r="O1281" s="13" t="s">
        <v>3224</v>
      </c>
      <c r="P1281" s="115" t="s">
        <v>4175</v>
      </c>
      <c r="Q1281" s="8"/>
      <c r="R1281" s="2">
        <v>1</v>
      </c>
      <c r="S1281" s="9">
        <v>500</v>
      </c>
      <c r="T1281" s="10">
        <f t="shared" si="282"/>
        <v>250</v>
      </c>
      <c r="U1281" s="9">
        <v>50</v>
      </c>
      <c r="V1281" s="10">
        <f t="shared" si="283"/>
        <v>200</v>
      </c>
      <c r="W1281" s="4" t="s">
        <v>122</v>
      </c>
      <c r="X1281" s="2"/>
      <c r="Y1281" s="11">
        <v>4</v>
      </c>
      <c r="Z1281" s="12">
        <f t="shared" ref="Z1281:Z1344" si="298">F1281-E1281</f>
        <v>1</v>
      </c>
      <c r="AA1281" s="4" t="s">
        <v>212</v>
      </c>
      <c r="AC1281" s="176">
        <f t="shared" si="296"/>
        <v>4.5454545454545456E-2</v>
      </c>
    </row>
    <row r="1282" spans="2:29">
      <c r="B1282" s="183">
        <f t="shared" si="274"/>
        <v>36</v>
      </c>
      <c r="C1282" s="107" t="str">
        <f t="shared" si="275"/>
        <v>ATK</v>
      </c>
      <c r="D1282" s="2" t="s">
        <v>4176</v>
      </c>
      <c r="E1282" s="3">
        <v>44074</v>
      </c>
      <c r="F1282" s="3">
        <v>44075</v>
      </c>
      <c r="G1282" s="108">
        <f t="shared" si="276"/>
        <v>9</v>
      </c>
      <c r="H1282" s="108" t="str">
        <f t="shared" si="277"/>
        <v>완료</v>
      </c>
      <c r="I1282" s="112" t="s">
        <v>4177</v>
      </c>
      <c r="J1282" s="4" t="s">
        <v>4178</v>
      </c>
      <c r="K1282" s="5" t="s">
        <v>4179</v>
      </c>
      <c r="L1282" s="6" t="str">
        <f t="shared" si="297"/>
        <v>6T2</v>
      </c>
      <c r="M1282" s="13" t="s">
        <v>4180</v>
      </c>
      <c r="N1282" s="7" t="s">
        <v>4181</v>
      </c>
      <c r="O1282" s="13" t="s">
        <v>4180</v>
      </c>
      <c r="P1282" s="115" t="s">
        <v>4182</v>
      </c>
      <c r="Q1282" s="8" t="s">
        <v>4185</v>
      </c>
      <c r="R1282" s="2">
        <v>1</v>
      </c>
      <c r="S1282" s="9">
        <v>910</v>
      </c>
      <c r="T1282" s="10">
        <f t="shared" si="282"/>
        <v>455</v>
      </c>
      <c r="U1282" s="9">
        <v>25</v>
      </c>
      <c r="V1282" s="10">
        <f t="shared" si="283"/>
        <v>430</v>
      </c>
      <c r="W1282" s="4" t="s">
        <v>4183</v>
      </c>
      <c r="X1282" s="2"/>
      <c r="Y1282" s="11">
        <v>3</v>
      </c>
      <c r="Z1282" s="12">
        <f t="shared" si="298"/>
        <v>1</v>
      </c>
      <c r="AA1282" s="4" t="s">
        <v>4184</v>
      </c>
      <c r="AC1282" s="176">
        <f t="shared" si="296"/>
        <v>2.2727272727272728E-2</v>
      </c>
    </row>
    <row r="1283" spans="2:29">
      <c r="B1283" s="183">
        <f t="shared" ref="B1283:B1346" si="299">IF(F1283&gt;0,IFERROR(WEEKNUM(F1283),""),"")</f>
        <v>36</v>
      </c>
      <c r="C1283" s="107" t="str">
        <f t="shared" ref="C1283:C1346" si="300">IF(D1283=0,"",(IF(LEFT(D1283,3)="ATK","ATK",IF(LEFT(D1283,2)="AT",D1283,"ATK"))))</f>
        <v>ATK</v>
      </c>
      <c r="D1283" s="2" t="s">
        <v>269</v>
      </c>
      <c r="E1283" s="3">
        <v>44074</v>
      </c>
      <c r="F1283" s="3">
        <v>44076</v>
      </c>
      <c r="G1283" s="108">
        <f t="shared" ref="G1283:G1346" si="301">IF(F1283&gt;0,MONTH(F1283),"")</f>
        <v>9</v>
      </c>
      <c r="H1283" s="108" t="str">
        <f t="shared" ref="H1283:H1346" si="302">IF(I1283=0,"",IF(RIGHT(I1283,2)="완료","완료",IF(RIGHT(I1283,2)="불가","수리불가",IF(RIGHT(I1283,1)="중","수리중","Other"))))</f>
        <v>완료</v>
      </c>
      <c r="I1283" s="112" t="s">
        <v>218</v>
      </c>
      <c r="J1283" s="4" t="s">
        <v>121</v>
      </c>
      <c r="K1283" s="5" t="s">
        <v>136</v>
      </c>
      <c r="L1283" s="6" t="str">
        <f t="shared" si="297"/>
        <v>5T1</v>
      </c>
      <c r="M1283" s="13" t="s">
        <v>226</v>
      </c>
      <c r="N1283" s="7" t="s">
        <v>3848</v>
      </c>
      <c r="O1283" s="13" t="s">
        <v>225</v>
      </c>
      <c r="P1283" s="115" t="s">
        <v>4187</v>
      </c>
      <c r="Q1283" s="8"/>
      <c r="R1283" s="2">
        <v>1</v>
      </c>
      <c r="S1283" s="9">
        <v>3500</v>
      </c>
      <c r="T1283" s="10">
        <f t="shared" si="282"/>
        <v>1750</v>
      </c>
      <c r="U1283" s="9">
        <v>50</v>
      </c>
      <c r="V1283" s="10">
        <f t="shared" si="283"/>
        <v>1700</v>
      </c>
      <c r="W1283" s="4" t="s">
        <v>249</v>
      </c>
      <c r="X1283" s="2"/>
      <c r="Y1283" s="11">
        <v>4</v>
      </c>
      <c r="Z1283" s="12">
        <f t="shared" si="298"/>
        <v>2</v>
      </c>
      <c r="AA1283" s="4" t="s">
        <v>27</v>
      </c>
      <c r="AC1283" s="176">
        <f t="shared" si="296"/>
        <v>4.5454545454545456E-2</v>
      </c>
    </row>
    <row r="1284" spans="2:29">
      <c r="B1284" s="183">
        <f t="shared" si="299"/>
        <v>36</v>
      </c>
      <c r="C1284" s="107" t="str">
        <f t="shared" si="300"/>
        <v>ATK</v>
      </c>
      <c r="D1284" s="2" t="s">
        <v>5410</v>
      </c>
      <c r="E1284" s="3">
        <v>44074</v>
      </c>
      <c r="F1284" s="3">
        <v>44076</v>
      </c>
      <c r="G1284" s="108">
        <f t="shared" si="301"/>
        <v>9</v>
      </c>
      <c r="H1284" s="108" t="str">
        <f t="shared" si="302"/>
        <v>완료</v>
      </c>
      <c r="I1284" s="112" t="s">
        <v>218</v>
      </c>
      <c r="J1284" s="4" t="s">
        <v>132</v>
      </c>
      <c r="K1284" s="5" t="s">
        <v>133</v>
      </c>
      <c r="L1284" s="6" t="str">
        <f t="shared" si="297"/>
        <v>3T3</v>
      </c>
      <c r="M1284" s="13" t="s">
        <v>705</v>
      </c>
      <c r="N1284" s="7" t="s">
        <v>4188</v>
      </c>
      <c r="O1284" s="13" t="s">
        <v>4189</v>
      </c>
      <c r="P1284" s="115"/>
      <c r="Q1284" s="8"/>
      <c r="R1284" s="2">
        <v>1</v>
      </c>
      <c r="S1284" s="9">
        <v>600</v>
      </c>
      <c r="T1284" s="10">
        <f t="shared" si="282"/>
        <v>300</v>
      </c>
      <c r="U1284" s="9">
        <v>1</v>
      </c>
      <c r="V1284" s="10">
        <f t="shared" si="283"/>
        <v>299</v>
      </c>
      <c r="W1284" s="4" t="s">
        <v>122</v>
      </c>
      <c r="X1284" s="2"/>
      <c r="Y1284" s="11">
        <v>1</v>
      </c>
      <c r="Z1284" s="12">
        <f t="shared" si="298"/>
        <v>2</v>
      </c>
      <c r="AA1284" s="4" t="s">
        <v>117</v>
      </c>
      <c r="AC1284" s="176">
        <f t="shared" si="296"/>
        <v>9.0909090909090909E-4</v>
      </c>
    </row>
    <row r="1285" spans="2:29">
      <c r="B1285" s="183">
        <f t="shared" si="299"/>
        <v>36</v>
      </c>
      <c r="C1285" s="107" t="str">
        <f t="shared" si="300"/>
        <v>ATK</v>
      </c>
      <c r="D1285" s="2" t="s">
        <v>4190</v>
      </c>
      <c r="E1285" s="3">
        <v>44076</v>
      </c>
      <c r="F1285" s="3">
        <v>44076</v>
      </c>
      <c r="G1285" s="108">
        <f t="shared" si="301"/>
        <v>9</v>
      </c>
      <c r="H1285" s="108" t="str">
        <f t="shared" si="302"/>
        <v>완료</v>
      </c>
      <c r="I1285" s="112" t="s">
        <v>218</v>
      </c>
      <c r="J1285" s="4" t="s">
        <v>118</v>
      </c>
      <c r="K1285" s="5" t="s">
        <v>119</v>
      </c>
      <c r="L1285" s="6" t="str">
        <f t="shared" si="297"/>
        <v>2T3</v>
      </c>
      <c r="M1285" s="13" t="s">
        <v>456</v>
      </c>
      <c r="N1285" s="7" t="s">
        <v>4191</v>
      </c>
      <c r="O1285" s="13" t="s">
        <v>4192</v>
      </c>
      <c r="P1285" s="115"/>
      <c r="Q1285" s="8"/>
      <c r="R1285" s="2">
        <v>1</v>
      </c>
      <c r="S1285" s="9">
        <v>2500</v>
      </c>
      <c r="T1285" s="10">
        <f t="shared" si="282"/>
        <v>1250</v>
      </c>
      <c r="U1285" s="9">
        <v>1</v>
      </c>
      <c r="V1285" s="10">
        <f t="shared" si="283"/>
        <v>1249</v>
      </c>
      <c r="W1285" s="4" t="s">
        <v>122</v>
      </c>
      <c r="X1285" s="2"/>
      <c r="Y1285" s="11">
        <v>1</v>
      </c>
      <c r="Z1285" s="12">
        <f t="shared" si="298"/>
        <v>0</v>
      </c>
      <c r="AA1285" s="4" t="s">
        <v>117</v>
      </c>
      <c r="AC1285" s="176">
        <f t="shared" si="296"/>
        <v>9.0909090909090909E-4</v>
      </c>
    </row>
    <row r="1286" spans="2:29">
      <c r="B1286" s="183">
        <f t="shared" si="299"/>
        <v>36</v>
      </c>
      <c r="C1286" s="107" t="str">
        <f t="shared" si="300"/>
        <v>ATK</v>
      </c>
      <c r="D1286" s="2" t="s">
        <v>4193</v>
      </c>
      <c r="E1286" s="3">
        <v>44074</v>
      </c>
      <c r="F1286" s="3">
        <v>44076</v>
      </c>
      <c r="G1286" s="108">
        <f t="shared" si="301"/>
        <v>9</v>
      </c>
      <c r="H1286" s="108" t="str">
        <f t="shared" si="302"/>
        <v>완료</v>
      </c>
      <c r="I1286" s="112" t="s">
        <v>218</v>
      </c>
      <c r="J1286" s="4" t="s">
        <v>118</v>
      </c>
      <c r="K1286" s="5" t="s">
        <v>137</v>
      </c>
      <c r="L1286" s="6" t="str">
        <f t="shared" si="297"/>
        <v>2T2</v>
      </c>
      <c r="M1286" s="13" t="s">
        <v>256</v>
      </c>
      <c r="N1286" s="7" t="s">
        <v>3529</v>
      </c>
      <c r="O1286" s="13" t="s">
        <v>370</v>
      </c>
      <c r="P1286" s="115"/>
      <c r="Q1286" s="8"/>
      <c r="R1286" s="2">
        <v>2</v>
      </c>
      <c r="S1286" s="9">
        <v>2200</v>
      </c>
      <c r="T1286" s="10">
        <f t="shared" si="282"/>
        <v>2200</v>
      </c>
      <c r="U1286" s="9">
        <v>1</v>
      </c>
      <c r="V1286" s="10">
        <f t="shared" si="283"/>
        <v>2199</v>
      </c>
      <c r="W1286" s="4" t="s">
        <v>122</v>
      </c>
      <c r="X1286" s="2"/>
      <c r="Y1286" s="11">
        <v>1</v>
      </c>
      <c r="Z1286" s="12">
        <f t="shared" si="298"/>
        <v>2</v>
      </c>
      <c r="AA1286" s="4" t="s">
        <v>117</v>
      </c>
      <c r="AC1286" s="176">
        <f t="shared" si="296"/>
        <v>9.0909090909090909E-4</v>
      </c>
    </row>
    <row r="1287" spans="2:29">
      <c r="B1287" s="183">
        <f t="shared" si="299"/>
        <v>36</v>
      </c>
      <c r="C1287" s="107" t="str">
        <f t="shared" si="300"/>
        <v>ATK</v>
      </c>
      <c r="D1287" s="2" t="s">
        <v>3197</v>
      </c>
      <c r="E1287" s="3">
        <v>44074</v>
      </c>
      <c r="F1287" s="3">
        <v>44076</v>
      </c>
      <c r="G1287" s="108">
        <f t="shared" si="301"/>
        <v>9</v>
      </c>
      <c r="H1287" s="108" t="str">
        <f t="shared" si="302"/>
        <v>완료</v>
      </c>
      <c r="I1287" s="112" t="s">
        <v>218</v>
      </c>
      <c r="J1287" s="4" t="s">
        <v>118</v>
      </c>
      <c r="K1287" s="5" t="s">
        <v>137</v>
      </c>
      <c r="L1287" s="6" t="str">
        <f t="shared" si="297"/>
        <v>2T2</v>
      </c>
      <c r="M1287" s="13" t="s">
        <v>256</v>
      </c>
      <c r="N1287" s="7" t="s">
        <v>3529</v>
      </c>
      <c r="O1287" s="13" t="s">
        <v>482</v>
      </c>
      <c r="P1287" s="115" t="s">
        <v>944</v>
      </c>
      <c r="Q1287" s="8"/>
      <c r="R1287" s="2">
        <v>1</v>
      </c>
      <c r="S1287" s="9">
        <v>1600</v>
      </c>
      <c r="T1287" s="10">
        <f t="shared" si="282"/>
        <v>800</v>
      </c>
      <c r="U1287" s="9">
        <v>1</v>
      </c>
      <c r="V1287" s="10">
        <f t="shared" si="283"/>
        <v>799</v>
      </c>
      <c r="W1287" s="4" t="s">
        <v>122</v>
      </c>
      <c r="X1287" s="2"/>
      <c r="Y1287" s="11">
        <v>1</v>
      </c>
      <c r="Z1287" s="12">
        <f t="shared" si="298"/>
        <v>2</v>
      </c>
      <c r="AA1287" s="4" t="s">
        <v>117</v>
      </c>
      <c r="AC1287" s="176">
        <f t="shared" si="296"/>
        <v>9.0909090909090909E-4</v>
      </c>
    </row>
    <row r="1288" spans="2:29">
      <c r="B1288" s="183">
        <f t="shared" si="299"/>
        <v>36</v>
      </c>
      <c r="C1288" s="107" t="str">
        <f t="shared" si="300"/>
        <v>ATK</v>
      </c>
      <c r="D1288" s="2" t="s">
        <v>250</v>
      </c>
      <c r="E1288" s="3">
        <v>44076</v>
      </c>
      <c r="F1288" s="3">
        <v>44076</v>
      </c>
      <c r="G1288" s="108">
        <f t="shared" si="301"/>
        <v>9</v>
      </c>
      <c r="H1288" s="108" t="str">
        <f t="shared" si="302"/>
        <v>완료</v>
      </c>
      <c r="I1288" s="112" t="s">
        <v>218</v>
      </c>
      <c r="J1288" s="4" t="s">
        <v>251</v>
      </c>
      <c r="K1288" s="5" t="s">
        <v>251</v>
      </c>
      <c r="L1288" s="6" t="str">
        <f t="shared" si="297"/>
        <v>Oth</v>
      </c>
      <c r="M1288" s="13" t="s">
        <v>4194</v>
      </c>
      <c r="N1288" s="7" t="s">
        <v>4195</v>
      </c>
      <c r="O1288" s="13" t="s">
        <v>589</v>
      </c>
      <c r="P1288" s="115"/>
      <c r="Q1288" s="8"/>
      <c r="R1288" s="2">
        <v>1</v>
      </c>
      <c r="S1288" s="9">
        <v>300</v>
      </c>
      <c r="T1288" s="10">
        <f t="shared" si="282"/>
        <v>150</v>
      </c>
      <c r="U1288" s="9">
        <v>15</v>
      </c>
      <c r="V1288" s="10">
        <f t="shared" si="283"/>
        <v>135</v>
      </c>
      <c r="W1288" s="4" t="s">
        <v>122</v>
      </c>
      <c r="X1288" s="2"/>
      <c r="Y1288" s="11">
        <v>2</v>
      </c>
      <c r="Z1288" s="12">
        <f t="shared" si="298"/>
        <v>0</v>
      </c>
      <c r="AA1288" s="4" t="s">
        <v>117</v>
      </c>
      <c r="AC1288" s="176">
        <f t="shared" si="296"/>
        <v>1.3636363636363636E-2</v>
      </c>
    </row>
    <row r="1289" spans="2:29">
      <c r="B1289" s="183">
        <f t="shared" si="299"/>
        <v>36</v>
      </c>
      <c r="C1289" s="107" t="str">
        <f t="shared" si="300"/>
        <v>ATK</v>
      </c>
      <c r="D1289" s="2" t="s">
        <v>4196</v>
      </c>
      <c r="E1289" s="3">
        <v>44075</v>
      </c>
      <c r="F1289" s="3">
        <v>44075</v>
      </c>
      <c r="G1289" s="108">
        <f t="shared" si="301"/>
        <v>9</v>
      </c>
      <c r="H1289" s="108" t="str">
        <f t="shared" si="302"/>
        <v>완료</v>
      </c>
      <c r="I1289" s="112" t="s">
        <v>4197</v>
      </c>
      <c r="J1289" s="4" t="s">
        <v>4198</v>
      </c>
      <c r="K1289" s="5" t="s">
        <v>4199</v>
      </c>
      <c r="L1289" s="6" t="str">
        <f t="shared" si="297"/>
        <v>1T1</v>
      </c>
      <c r="M1289" s="13" t="s">
        <v>4200</v>
      </c>
      <c r="N1289" s="7" t="s">
        <v>4201</v>
      </c>
      <c r="O1289" s="13" t="s">
        <v>4200</v>
      </c>
      <c r="P1289" s="115" t="s">
        <v>4202</v>
      </c>
      <c r="Q1289" s="8"/>
      <c r="R1289" s="2">
        <v>1</v>
      </c>
      <c r="S1289" s="9">
        <v>250</v>
      </c>
      <c r="T1289" s="10">
        <f t="shared" si="282"/>
        <v>125</v>
      </c>
      <c r="U1289" s="9">
        <v>20</v>
      </c>
      <c r="V1289" s="10">
        <f t="shared" si="283"/>
        <v>105</v>
      </c>
      <c r="W1289" s="4" t="s">
        <v>4203</v>
      </c>
      <c r="X1289" s="2"/>
      <c r="Y1289" s="11">
        <v>2</v>
      </c>
      <c r="Z1289" s="12">
        <f t="shared" si="298"/>
        <v>0</v>
      </c>
      <c r="AA1289" s="4" t="s">
        <v>4204</v>
      </c>
      <c r="AC1289" s="176">
        <f t="shared" si="296"/>
        <v>1.8181818181818181E-2</v>
      </c>
    </row>
    <row r="1290" spans="2:29">
      <c r="B1290" s="183">
        <f t="shared" si="299"/>
        <v>36</v>
      </c>
      <c r="C1290" s="107" t="str">
        <f t="shared" si="300"/>
        <v>ATK</v>
      </c>
      <c r="D1290" s="2" t="s">
        <v>4205</v>
      </c>
      <c r="E1290" s="3">
        <v>44060</v>
      </c>
      <c r="F1290" s="3">
        <v>44077</v>
      </c>
      <c r="G1290" s="108">
        <f t="shared" si="301"/>
        <v>9</v>
      </c>
      <c r="H1290" s="108" t="str">
        <f t="shared" si="302"/>
        <v>완료</v>
      </c>
      <c r="I1290" s="112" t="s">
        <v>218</v>
      </c>
      <c r="J1290" s="4" t="s">
        <v>251</v>
      </c>
      <c r="K1290" s="5" t="s">
        <v>3905</v>
      </c>
      <c r="L1290" s="6" t="str">
        <f t="shared" si="297"/>
        <v>TES</v>
      </c>
      <c r="M1290" s="13" t="s">
        <v>4206</v>
      </c>
      <c r="N1290" s="7" t="s">
        <v>4207</v>
      </c>
      <c r="O1290" s="13" t="s">
        <v>543</v>
      </c>
      <c r="P1290" s="115" t="s">
        <v>4208</v>
      </c>
      <c r="Q1290" s="8" t="s">
        <v>4209</v>
      </c>
      <c r="R1290" s="2">
        <v>1</v>
      </c>
      <c r="S1290" s="9">
        <v>4000</v>
      </c>
      <c r="T1290" s="10">
        <f t="shared" si="282"/>
        <v>2000</v>
      </c>
      <c r="U1290" s="9">
        <v>5</v>
      </c>
      <c r="V1290" s="10">
        <f t="shared" si="283"/>
        <v>1995</v>
      </c>
      <c r="W1290" s="4" t="s">
        <v>122</v>
      </c>
      <c r="X1290" s="2"/>
      <c r="Y1290" s="11">
        <v>4</v>
      </c>
      <c r="Z1290" s="12">
        <f t="shared" si="298"/>
        <v>17</v>
      </c>
      <c r="AA1290" s="4" t="s">
        <v>120</v>
      </c>
      <c r="AC1290" s="176">
        <f t="shared" si="296"/>
        <v>4.5454545454545452E-3</v>
      </c>
    </row>
    <row r="1291" spans="2:29" ht="24">
      <c r="B1291" s="183">
        <f t="shared" si="299"/>
        <v>36</v>
      </c>
      <c r="C1291" s="107" t="str">
        <f t="shared" si="300"/>
        <v>ATP</v>
      </c>
      <c r="D1291" s="2" t="s">
        <v>4210</v>
      </c>
      <c r="E1291" s="3">
        <v>44076</v>
      </c>
      <c r="F1291" s="3">
        <v>44077</v>
      </c>
      <c r="G1291" s="108">
        <f t="shared" si="301"/>
        <v>9</v>
      </c>
      <c r="H1291" s="108" t="str">
        <f t="shared" si="302"/>
        <v>완료</v>
      </c>
      <c r="I1291" s="112" t="s">
        <v>218</v>
      </c>
      <c r="J1291" s="4" t="s">
        <v>4210</v>
      </c>
      <c r="K1291" s="5" t="s">
        <v>4211</v>
      </c>
      <c r="L1291" s="6" t="str">
        <f t="shared" si="297"/>
        <v>ATP</v>
      </c>
      <c r="M1291" s="13" t="s">
        <v>4212</v>
      </c>
      <c r="N1291" s="7" t="s">
        <v>4232</v>
      </c>
      <c r="O1291" s="13" t="s">
        <v>4215</v>
      </c>
      <c r="P1291" s="115" t="s">
        <v>4252</v>
      </c>
      <c r="Q1291" s="8" t="s">
        <v>4238</v>
      </c>
      <c r="R1291" s="2">
        <v>1</v>
      </c>
      <c r="S1291" s="9">
        <v>9280</v>
      </c>
      <c r="T1291" s="10">
        <f t="shared" ref="T1291:T1316" si="303">(S1291*50)/100*R1291</f>
        <v>4640</v>
      </c>
      <c r="U1291" s="9">
        <v>700</v>
      </c>
      <c r="V1291" s="10">
        <f t="shared" ref="V1291:V1316" si="304">T1291-U1291</f>
        <v>3940</v>
      </c>
      <c r="W1291" s="4" t="s">
        <v>122</v>
      </c>
      <c r="X1291" s="2"/>
      <c r="Y1291" s="11">
        <v>8</v>
      </c>
      <c r="Z1291" s="12">
        <f t="shared" si="298"/>
        <v>1</v>
      </c>
      <c r="AA1291" s="4" t="s">
        <v>117</v>
      </c>
      <c r="AC1291" s="176">
        <f t="shared" si="296"/>
        <v>0.63636363636363635</v>
      </c>
    </row>
    <row r="1292" spans="2:29">
      <c r="B1292" s="183">
        <f t="shared" si="299"/>
        <v>41</v>
      </c>
      <c r="C1292" s="107" t="str">
        <f t="shared" si="300"/>
        <v>ATP</v>
      </c>
      <c r="D1292" s="2" t="s">
        <v>4210</v>
      </c>
      <c r="E1292" s="3">
        <v>44076</v>
      </c>
      <c r="F1292" s="3">
        <v>44110</v>
      </c>
      <c r="G1292" s="108">
        <f t="shared" si="301"/>
        <v>10</v>
      </c>
      <c r="H1292" s="108" t="str">
        <f t="shared" si="302"/>
        <v>완료</v>
      </c>
      <c r="I1292" s="112" t="s">
        <v>4749</v>
      </c>
      <c r="J1292" s="4" t="s">
        <v>4210</v>
      </c>
      <c r="K1292" s="5" t="s">
        <v>4211</v>
      </c>
      <c r="L1292" s="6" t="str">
        <f t="shared" si="297"/>
        <v>ATP</v>
      </c>
      <c r="M1292" s="13" t="s">
        <v>3694</v>
      </c>
      <c r="N1292" s="13"/>
      <c r="O1292" s="13" t="s">
        <v>4216</v>
      </c>
      <c r="P1292" s="115" t="s">
        <v>4254</v>
      </c>
      <c r="Q1292" s="8" t="s">
        <v>4239</v>
      </c>
      <c r="R1292" s="2">
        <v>1</v>
      </c>
      <c r="S1292" s="9">
        <v>1160</v>
      </c>
      <c r="T1292" s="10">
        <f t="shared" si="303"/>
        <v>580</v>
      </c>
      <c r="U1292" s="9">
        <v>0</v>
      </c>
      <c r="V1292" s="10">
        <f t="shared" si="304"/>
        <v>580</v>
      </c>
      <c r="W1292" s="4" t="s">
        <v>122</v>
      </c>
      <c r="X1292" s="2"/>
      <c r="Y1292" s="11">
        <v>2</v>
      </c>
      <c r="Z1292" s="12">
        <f t="shared" si="298"/>
        <v>34</v>
      </c>
      <c r="AA1292" s="4" t="s">
        <v>27</v>
      </c>
      <c r="AC1292" s="176">
        <f t="shared" si="296"/>
        <v>0</v>
      </c>
    </row>
    <row r="1293" spans="2:29" ht="24">
      <c r="B1293" s="183">
        <f t="shared" si="299"/>
        <v>44</v>
      </c>
      <c r="C1293" s="107" t="str">
        <f t="shared" si="300"/>
        <v>ATP</v>
      </c>
      <c r="D1293" s="2" t="s">
        <v>4210</v>
      </c>
      <c r="E1293" s="3">
        <v>44076</v>
      </c>
      <c r="F1293" s="3">
        <v>44132</v>
      </c>
      <c r="G1293" s="108">
        <f t="shared" si="301"/>
        <v>10</v>
      </c>
      <c r="H1293" s="108" t="str">
        <f t="shared" si="302"/>
        <v>완료</v>
      </c>
      <c r="I1293" s="112" t="s">
        <v>218</v>
      </c>
      <c r="J1293" s="4" t="s">
        <v>4210</v>
      </c>
      <c r="K1293" s="5" t="s">
        <v>4211</v>
      </c>
      <c r="L1293" s="6" t="str">
        <f t="shared" si="297"/>
        <v>ATP</v>
      </c>
      <c r="M1293" s="13" t="s">
        <v>403</v>
      </c>
      <c r="N1293" s="13">
        <v>2200</v>
      </c>
      <c r="O1293" s="13" t="s">
        <v>4217</v>
      </c>
      <c r="P1293" s="115" t="s">
        <v>4253</v>
      </c>
      <c r="Q1293" s="8" t="s">
        <v>4240</v>
      </c>
      <c r="R1293" s="2">
        <v>1</v>
      </c>
      <c r="S1293" s="9">
        <v>2320</v>
      </c>
      <c r="T1293" s="10">
        <f t="shared" si="303"/>
        <v>1160</v>
      </c>
      <c r="U1293" s="9">
        <v>70</v>
      </c>
      <c r="V1293" s="10">
        <f t="shared" si="304"/>
        <v>1090</v>
      </c>
      <c r="W1293" s="4" t="s">
        <v>122</v>
      </c>
      <c r="X1293" s="2"/>
      <c r="Y1293" s="11">
        <v>7</v>
      </c>
      <c r="Z1293" s="12">
        <f t="shared" si="298"/>
        <v>56</v>
      </c>
      <c r="AA1293" s="4" t="s">
        <v>4306</v>
      </c>
      <c r="AC1293" s="176">
        <f t="shared" si="296"/>
        <v>6.363636363636363E-2</v>
      </c>
    </row>
    <row r="1294" spans="2:29">
      <c r="B1294" s="183">
        <f t="shared" si="299"/>
        <v>42</v>
      </c>
      <c r="C1294" s="107" t="str">
        <f t="shared" si="300"/>
        <v>ATP</v>
      </c>
      <c r="D1294" s="2" t="s">
        <v>4210</v>
      </c>
      <c r="E1294" s="3">
        <v>44076</v>
      </c>
      <c r="F1294" s="3">
        <v>44118</v>
      </c>
      <c r="G1294" s="108">
        <f t="shared" si="301"/>
        <v>10</v>
      </c>
      <c r="H1294" s="108" t="str">
        <f t="shared" si="302"/>
        <v>완료</v>
      </c>
      <c r="I1294" s="112" t="s">
        <v>4750</v>
      </c>
      <c r="J1294" s="4" t="s">
        <v>4210</v>
      </c>
      <c r="K1294" s="5" t="s">
        <v>4211</v>
      </c>
      <c r="L1294" s="6" t="str">
        <f t="shared" si="297"/>
        <v>ATP</v>
      </c>
      <c r="M1294" s="13" t="s">
        <v>4213</v>
      </c>
      <c r="N1294" s="13" t="s">
        <v>4233</v>
      </c>
      <c r="O1294" s="13" t="s">
        <v>4307</v>
      </c>
      <c r="P1294" s="115" t="s">
        <v>4226</v>
      </c>
      <c r="Q1294" s="8" t="s">
        <v>4241</v>
      </c>
      <c r="R1294" s="2">
        <v>1</v>
      </c>
      <c r="S1294" s="9">
        <v>2320</v>
      </c>
      <c r="T1294" s="10">
        <f t="shared" si="303"/>
        <v>1160</v>
      </c>
      <c r="U1294" s="9">
        <v>300</v>
      </c>
      <c r="V1294" s="10">
        <f t="shared" si="304"/>
        <v>860</v>
      </c>
      <c r="W1294" s="4" t="s">
        <v>326</v>
      </c>
      <c r="X1294" s="2" t="s">
        <v>124</v>
      </c>
      <c r="Y1294" s="11">
        <v>3</v>
      </c>
      <c r="Z1294" s="12">
        <f t="shared" si="298"/>
        <v>42</v>
      </c>
      <c r="AA1294" s="4" t="s">
        <v>4306</v>
      </c>
      <c r="AB1294" s="201"/>
      <c r="AC1294" s="176">
        <f t="shared" si="296"/>
        <v>0.27272727272727271</v>
      </c>
    </row>
    <row r="1295" spans="2:29">
      <c r="B1295" s="183">
        <f t="shared" si="299"/>
        <v>37</v>
      </c>
      <c r="C1295" s="107" t="str">
        <f t="shared" si="300"/>
        <v>ATP</v>
      </c>
      <c r="D1295" s="2" t="s">
        <v>4210</v>
      </c>
      <c r="E1295" s="3">
        <v>44076</v>
      </c>
      <c r="F1295" s="3">
        <v>44081</v>
      </c>
      <c r="G1295" s="108">
        <f t="shared" si="301"/>
        <v>9</v>
      </c>
      <c r="H1295" s="108" t="str">
        <f t="shared" si="302"/>
        <v>완료</v>
      </c>
      <c r="I1295" s="112" t="s">
        <v>218</v>
      </c>
      <c r="J1295" s="4" t="s">
        <v>4210</v>
      </c>
      <c r="K1295" s="5" t="s">
        <v>4211</v>
      </c>
      <c r="L1295" s="6" t="str">
        <f t="shared" si="297"/>
        <v>ATP</v>
      </c>
      <c r="M1295" s="13" t="s">
        <v>256</v>
      </c>
      <c r="N1295" s="13" t="s">
        <v>4234</v>
      </c>
      <c r="O1295" s="13" t="s">
        <v>4218</v>
      </c>
      <c r="P1295" s="115" t="s">
        <v>4255</v>
      </c>
      <c r="Q1295" s="8" t="s">
        <v>4242</v>
      </c>
      <c r="R1295" s="2">
        <v>1</v>
      </c>
      <c r="S1295" s="9">
        <v>580</v>
      </c>
      <c r="T1295" s="10">
        <f t="shared" si="303"/>
        <v>290</v>
      </c>
      <c r="U1295" s="9">
        <v>0</v>
      </c>
      <c r="V1295" s="10">
        <f t="shared" si="304"/>
        <v>290</v>
      </c>
      <c r="W1295" s="4" t="s">
        <v>122</v>
      </c>
      <c r="X1295" s="2"/>
      <c r="Y1295" s="11">
        <v>3</v>
      </c>
      <c r="Z1295" s="12">
        <f t="shared" si="298"/>
        <v>5</v>
      </c>
      <c r="AA1295" s="4" t="s">
        <v>4306</v>
      </c>
      <c r="AC1295" s="176">
        <f t="shared" si="296"/>
        <v>0</v>
      </c>
    </row>
    <row r="1296" spans="2:29">
      <c r="B1296" s="183">
        <f t="shared" si="299"/>
        <v>37</v>
      </c>
      <c r="C1296" s="107" t="str">
        <f t="shared" si="300"/>
        <v>ATP</v>
      </c>
      <c r="D1296" s="2" t="s">
        <v>4210</v>
      </c>
      <c r="E1296" s="3">
        <v>44076</v>
      </c>
      <c r="F1296" s="3">
        <v>44083</v>
      </c>
      <c r="G1296" s="108">
        <f t="shared" si="301"/>
        <v>9</v>
      </c>
      <c r="H1296" s="108" t="str">
        <f t="shared" si="302"/>
        <v>완료</v>
      </c>
      <c r="I1296" s="112" t="s">
        <v>218</v>
      </c>
      <c r="J1296" s="4" t="s">
        <v>4210</v>
      </c>
      <c r="K1296" s="5" t="s">
        <v>4211</v>
      </c>
      <c r="L1296" s="6" t="str">
        <f t="shared" si="297"/>
        <v>ATP</v>
      </c>
      <c r="M1296" s="13" t="s">
        <v>256</v>
      </c>
      <c r="N1296" s="13" t="s">
        <v>3621</v>
      </c>
      <c r="O1296" s="13" t="s">
        <v>4219</v>
      </c>
      <c r="P1296" s="115" t="s">
        <v>4227</v>
      </c>
      <c r="Q1296" s="8" t="s">
        <v>4243</v>
      </c>
      <c r="R1296" s="2">
        <v>1</v>
      </c>
      <c r="S1296" s="9">
        <v>3104.1600000000003</v>
      </c>
      <c r="T1296" s="10">
        <f t="shared" si="303"/>
        <v>1552.0800000000004</v>
      </c>
      <c r="U1296" s="9">
        <v>5</v>
      </c>
      <c r="V1296" s="10">
        <f t="shared" si="304"/>
        <v>1547.0800000000004</v>
      </c>
      <c r="W1296" s="4" t="s">
        <v>4364</v>
      </c>
      <c r="X1296" s="2"/>
      <c r="Y1296" s="11">
        <v>4</v>
      </c>
      <c r="Z1296" s="12">
        <f t="shared" si="298"/>
        <v>7</v>
      </c>
      <c r="AA1296" s="4" t="s">
        <v>4365</v>
      </c>
      <c r="AC1296" s="176">
        <f t="shared" si="296"/>
        <v>4.5454545454545452E-3</v>
      </c>
    </row>
    <row r="1297" spans="2:29">
      <c r="B1297" s="183">
        <f t="shared" si="299"/>
        <v>37</v>
      </c>
      <c r="C1297" s="107" t="str">
        <f t="shared" si="300"/>
        <v>ATP</v>
      </c>
      <c r="D1297" s="2" t="s">
        <v>4210</v>
      </c>
      <c r="E1297" s="3">
        <v>44076</v>
      </c>
      <c r="F1297" s="3">
        <v>44083</v>
      </c>
      <c r="G1297" s="108">
        <f t="shared" si="301"/>
        <v>9</v>
      </c>
      <c r="H1297" s="108" t="str">
        <f t="shared" si="302"/>
        <v>완료</v>
      </c>
      <c r="I1297" s="112" t="s">
        <v>218</v>
      </c>
      <c r="J1297" s="4" t="s">
        <v>4210</v>
      </c>
      <c r="K1297" s="5" t="s">
        <v>4211</v>
      </c>
      <c r="L1297" s="6" t="str">
        <f t="shared" si="297"/>
        <v>ATP</v>
      </c>
      <c r="M1297" s="13" t="s">
        <v>256</v>
      </c>
      <c r="N1297" s="13" t="s">
        <v>3621</v>
      </c>
      <c r="O1297" s="13" t="s">
        <v>4219</v>
      </c>
      <c r="P1297" s="115" t="s">
        <v>4227</v>
      </c>
      <c r="Q1297" s="8" t="s">
        <v>4244</v>
      </c>
      <c r="R1297" s="2">
        <v>1</v>
      </c>
      <c r="S1297" s="9">
        <v>3104.1600000000003</v>
      </c>
      <c r="T1297" s="10">
        <f t="shared" si="303"/>
        <v>1552.0800000000004</v>
      </c>
      <c r="U1297" s="9">
        <v>5</v>
      </c>
      <c r="V1297" s="10">
        <f t="shared" si="304"/>
        <v>1547.0800000000004</v>
      </c>
      <c r="W1297" s="4" t="s">
        <v>4364</v>
      </c>
      <c r="X1297" s="2"/>
      <c r="Y1297" s="11">
        <v>4</v>
      </c>
      <c r="Z1297" s="12">
        <f t="shared" si="298"/>
        <v>7</v>
      </c>
      <c r="AA1297" s="4" t="s">
        <v>4365</v>
      </c>
      <c r="AC1297" s="176">
        <f t="shared" si="296"/>
        <v>4.5454545454545452E-3</v>
      </c>
    </row>
    <row r="1298" spans="2:29">
      <c r="B1298" s="183">
        <f t="shared" si="299"/>
        <v>44</v>
      </c>
      <c r="C1298" s="107" t="str">
        <f t="shared" si="300"/>
        <v>ATP</v>
      </c>
      <c r="D1298" s="2" t="s">
        <v>4210</v>
      </c>
      <c r="E1298" s="3">
        <v>44076</v>
      </c>
      <c r="F1298" s="3">
        <v>44132</v>
      </c>
      <c r="G1298" s="108">
        <f t="shared" si="301"/>
        <v>10</v>
      </c>
      <c r="H1298" s="108" t="str">
        <f t="shared" si="302"/>
        <v>완료</v>
      </c>
      <c r="I1298" s="112" t="s">
        <v>218</v>
      </c>
      <c r="J1298" s="4" t="s">
        <v>4210</v>
      </c>
      <c r="K1298" s="5" t="s">
        <v>4211</v>
      </c>
      <c r="L1298" s="6" t="str">
        <f t="shared" si="297"/>
        <v>ATP</v>
      </c>
      <c r="M1298" s="13" t="s">
        <v>3694</v>
      </c>
      <c r="N1298" s="13" t="s">
        <v>4235</v>
      </c>
      <c r="O1298" s="13" t="s">
        <v>4220</v>
      </c>
      <c r="P1298" s="115" t="s">
        <v>4256</v>
      </c>
      <c r="Q1298" s="8" t="s">
        <v>4245</v>
      </c>
      <c r="R1298" s="2">
        <v>1</v>
      </c>
      <c r="S1298" s="9">
        <v>1160</v>
      </c>
      <c r="T1298" s="10">
        <f t="shared" si="303"/>
        <v>580</v>
      </c>
      <c r="U1298" s="9">
        <v>40</v>
      </c>
      <c r="V1298" s="10">
        <f t="shared" si="304"/>
        <v>540</v>
      </c>
      <c r="W1298" s="4" t="s">
        <v>122</v>
      </c>
      <c r="X1298" s="2"/>
      <c r="Y1298" s="11">
        <v>4</v>
      </c>
      <c r="Z1298" s="12">
        <f t="shared" si="298"/>
        <v>56</v>
      </c>
      <c r="AA1298" s="4" t="s">
        <v>117</v>
      </c>
      <c r="AC1298" s="176">
        <f t="shared" si="296"/>
        <v>3.6363636363636362E-2</v>
      </c>
    </row>
    <row r="1299" spans="2:29">
      <c r="B1299" s="183">
        <f t="shared" si="299"/>
        <v>42</v>
      </c>
      <c r="C1299" s="107" t="str">
        <f t="shared" si="300"/>
        <v>ATP</v>
      </c>
      <c r="D1299" s="2" t="s">
        <v>4210</v>
      </c>
      <c r="E1299" s="3">
        <v>44076</v>
      </c>
      <c r="F1299" s="3">
        <v>44118</v>
      </c>
      <c r="G1299" s="108">
        <f t="shared" si="301"/>
        <v>10</v>
      </c>
      <c r="H1299" s="108" t="str">
        <f t="shared" si="302"/>
        <v>완료</v>
      </c>
      <c r="I1299" s="112" t="s">
        <v>218</v>
      </c>
      <c r="J1299" s="4" t="s">
        <v>4210</v>
      </c>
      <c r="K1299" s="5" t="s">
        <v>4211</v>
      </c>
      <c r="L1299" s="6" t="str">
        <f t="shared" si="297"/>
        <v>ATP</v>
      </c>
      <c r="M1299" s="13" t="s">
        <v>399</v>
      </c>
      <c r="N1299" s="13" t="s">
        <v>4236</v>
      </c>
      <c r="O1299" s="13" t="s">
        <v>4221</v>
      </c>
      <c r="P1299" s="115" t="s">
        <v>4257</v>
      </c>
      <c r="Q1299" s="8" t="s">
        <v>4246</v>
      </c>
      <c r="R1299" s="2">
        <v>1</v>
      </c>
      <c r="S1299" s="9">
        <v>3480</v>
      </c>
      <c r="T1299" s="10">
        <f t="shared" si="303"/>
        <v>1740</v>
      </c>
      <c r="U1299" s="9">
        <v>15</v>
      </c>
      <c r="V1299" s="10">
        <f t="shared" si="304"/>
        <v>1725</v>
      </c>
      <c r="W1299" s="4" t="s">
        <v>122</v>
      </c>
      <c r="X1299" s="2"/>
      <c r="Y1299" s="11">
        <v>14</v>
      </c>
      <c r="Z1299" s="12">
        <f t="shared" si="298"/>
        <v>42</v>
      </c>
      <c r="AA1299" s="4" t="s">
        <v>117</v>
      </c>
      <c r="AC1299" s="176">
        <f t="shared" si="296"/>
        <v>1.3636363636363636E-2</v>
      </c>
    </row>
    <row r="1300" spans="2:29">
      <c r="B1300" s="183">
        <f t="shared" si="299"/>
        <v>44</v>
      </c>
      <c r="C1300" s="107" t="str">
        <f t="shared" si="300"/>
        <v>ATP</v>
      </c>
      <c r="D1300" s="2" t="s">
        <v>4210</v>
      </c>
      <c r="E1300" s="3">
        <v>44076</v>
      </c>
      <c r="F1300" s="3">
        <v>44132</v>
      </c>
      <c r="G1300" s="108">
        <f t="shared" si="301"/>
        <v>10</v>
      </c>
      <c r="H1300" s="108" t="str">
        <f t="shared" si="302"/>
        <v>완료</v>
      </c>
      <c r="I1300" s="112" t="s">
        <v>218</v>
      </c>
      <c r="J1300" s="4" t="s">
        <v>4210</v>
      </c>
      <c r="K1300" s="5" t="s">
        <v>4211</v>
      </c>
      <c r="L1300" s="6" t="str">
        <f t="shared" si="297"/>
        <v>ATP</v>
      </c>
      <c r="M1300" s="13" t="s">
        <v>403</v>
      </c>
      <c r="N1300" s="13">
        <v>2200</v>
      </c>
      <c r="O1300" s="13" t="s">
        <v>4222</v>
      </c>
      <c r="P1300" s="115" t="s">
        <v>4228</v>
      </c>
      <c r="Q1300" s="8" t="s">
        <v>4247</v>
      </c>
      <c r="R1300" s="2">
        <v>1</v>
      </c>
      <c r="S1300" s="9">
        <v>2320</v>
      </c>
      <c r="T1300" s="10">
        <f t="shared" si="303"/>
        <v>1160</v>
      </c>
      <c r="U1300" s="9">
        <v>30</v>
      </c>
      <c r="V1300" s="10">
        <f t="shared" si="304"/>
        <v>1130</v>
      </c>
      <c r="W1300" s="4" t="s">
        <v>122</v>
      </c>
      <c r="X1300" s="2"/>
      <c r="Y1300" s="11">
        <v>5</v>
      </c>
      <c r="Z1300" s="12">
        <f t="shared" si="298"/>
        <v>56</v>
      </c>
      <c r="AA1300" s="4" t="s">
        <v>130</v>
      </c>
      <c r="AC1300" s="176">
        <f t="shared" si="296"/>
        <v>2.7272727272727271E-2</v>
      </c>
    </row>
    <row r="1301" spans="2:29">
      <c r="B1301" s="183">
        <f t="shared" si="299"/>
        <v>44</v>
      </c>
      <c r="C1301" s="107" t="str">
        <f t="shared" si="300"/>
        <v>ATP</v>
      </c>
      <c r="D1301" s="2" t="s">
        <v>4210</v>
      </c>
      <c r="E1301" s="3">
        <v>44076</v>
      </c>
      <c r="F1301" s="3">
        <v>44132</v>
      </c>
      <c r="G1301" s="108">
        <f t="shared" si="301"/>
        <v>10</v>
      </c>
      <c r="H1301" s="108" t="str">
        <f t="shared" si="302"/>
        <v>완료</v>
      </c>
      <c r="I1301" s="112" t="s">
        <v>218</v>
      </c>
      <c r="J1301" s="4" t="s">
        <v>4210</v>
      </c>
      <c r="K1301" s="5" t="s">
        <v>4211</v>
      </c>
      <c r="L1301" s="6" t="str">
        <f t="shared" si="297"/>
        <v>ATP</v>
      </c>
      <c r="M1301" s="13" t="s">
        <v>403</v>
      </c>
      <c r="N1301" s="13">
        <v>2200</v>
      </c>
      <c r="O1301" s="13" t="s">
        <v>4222</v>
      </c>
      <c r="P1301" s="115" t="s">
        <v>4228</v>
      </c>
      <c r="Q1301" s="8" t="s">
        <v>4248</v>
      </c>
      <c r="R1301" s="2">
        <v>1</v>
      </c>
      <c r="S1301" s="9">
        <v>2320</v>
      </c>
      <c r="T1301" s="10">
        <f t="shared" si="303"/>
        <v>1160</v>
      </c>
      <c r="U1301" s="9">
        <v>30</v>
      </c>
      <c r="V1301" s="10">
        <f t="shared" si="304"/>
        <v>1130</v>
      </c>
      <c r="W1301" s="4" t="s">
        <v>122</v>
      </c>
      <c r="X1301" s="2"/>
      <c r="Y1301" s="11">
        <v>5</v>
      </c>
      <c r="Z1301" s="12">
        <f t="shared" si="298"/>
        <v>56</v>
      </c>
      <c r="AA1301" s="4" t="s">
        <v>130</v>
      </c>
      <c r="AC1301" s="176">
        <f t="shared" si="296"/>
        <v>2.7272727272727271E-2</v>
      </c>
    </row>
    <row r="1302" spans="2:29">
      <c r="B1302" s="183">
        <f t="shared" si="299"/>
        <v>44</v>
      </c>
      <c r="C1302" s="107" t="str">
        <f t="shared" si="300"/>
        <v>ATP</v>
      </c>
      <c r="D1302" s="2" t="s">
        <v>4210</v>
      </c>
      <c r="E1302" s="3">
        <v>44076</v>
      </c>
      <c r="F1302" s="3">
        <v>44132</v>
      </c>
      <c r="G1302" s="108">
        <f t="shared" si="301"/>
        <v>10</v>
      </c>
      <c r="H1302" s="108" t="str">
        <f t="shared" si="302"/>
        <v>수리불가</v>
      </c>
      <c r="I1302" s="112" t="s">
        <v>601</v>
      </c>
      <c r="J1302" s="4" t="s">
        <v>4210</v>
      </c>
      <c r="K1302" s="5" t="s">
        <v>4211</v>
      </c>
      <c r="L1302" s="6" t="str">
        <f t="shared" si="297"/>
        <v>ATP</v>
      </c>
      <c r="M1302" s="13" t="s">
        <v>4214</v>
      </c>
      <c r="N1302" s="13"/>
      <c r="O1302" s="13" t="s">
        <v>4223</v>
      </c>
      <c r="P1302" s="115" t="s">
        <v>4229</v>
      </c>
      <c r="Q1302" s="8" t="s">
        <v>4249</v>
      </c>
      <c r="R1302" s="2">
        <v>1</v>
      </c>
      <c r="S1302" s="9">
        <v>2900</v>
      </c>
      <c r="T1302" s="10">
        <f t="shared" si="303"/>
        <v>1450</v>
      </c>
      <c r="U1302" s="9">
        <v>0</v>
      </c>
      <c r="V1302" s="10">
        <f t="shared" si="304"/>
        <v>1450</v>
      </c>
      <c r="W1302" s="4" t="s">
        <v>122</v>
      </c>
      <c r="X1302" s="2"/>
      <c r="Y1302" s="11">
        <v>2</v>
      </c>
      <c r="Z1302" s="12">
        <f t="shared" si="298"/>
        <v>56</v>
      </c>
      <c r="AA1302" s="4" t="s">
        <v>117</v>
      </c>
      <c r="AC1302" s="176">
        <f t="shared" si="296"/>
        <v>0</v>
      </c>
    </row>
    <row r="1303" spans="2:29">
      <c r="B1303" s="183">
        <f t="shared" si="299"/>
        <v>44</v>
      </c>
      <c r="C1303" s="107" t="str">
        <f t="shared" si="300"/>
        <v>ATP</v>
      </c>
      <c r="D1303" s="2" t="s">
        <v>4210</v>
      </c>
      <c r="E1303" s="3">
        <v>44076</v>
      </c>
      <c r="F1303" s="3">
        <v>44132</v>
      </c>
      <c r="G1303" s="108">
        <f t="shared" si="301"/>
        <v>10</v>
      </c>
      <c r="H1303" s="108" t="str">
        <f t="shared" si="302"/>
        <v>수리불가</v>
      </c>
      <c r="I1303" s="112" t="s">
        <v>601</v>
      </c>
      <c r="J1303" s="4" t="s">
        <v>4210</v>
      </c>
      <c r="K1303" s="5" t="s">
        <v>4211</v>
      </c>
      <c r="L1303" s="6" t="str">
        <f t="shared" si="297"/>
        <v>ATP</v>
      </c>
      <c r="M1303" s="13" t="s">
        <v>4214</v>
      </c>
      <c r="N1303" s="13"/>
      <c r="O1303" s="13" t="s">
        <v>4224</v>
      </c>
      <c r="P1303" s="115" t="s">
        <v>4230</v>
      </c>
      <c r="Q1303" s="8" t="s">
        <v>4250</v>
      </c>
      <c r="R1303" s="2">
        <v>1</v>
      </c>
      <c r="S1303" s="9">
        <v>1160</v>
      </c>
      <c r="T1303" s="10">
        <f t="shared" si="303"/>
        <v>580</v>
      </c>
      <c r="U1303" s="9">
        <v>30</v>
      </c>
      <c r="V1303" s="10">
        <f t="shared" si="304"/>
        <v>550</v>
      </c>
      <c r="W1303" s="4" t="s">
        <v>122</v>
      </c>
      <c r="X1303" s="2"/>
      <c r="Y1303" s="11">
        <v>2</v>
      </c>
      <c r="Z1303" s="12">
        <f t="shared" si="298"/>
        <v>56</v>
      </c>
      <c r="AA1303" s="4" t="s">
        <v>117</v>
      </c>
      <c r="AC1303" s="176">
        <f t="shared" si="296"/>
        <v>2.7272727272727271E-2</v>
      </c>
    </row>
    <row r="1304" spans="2:29">
      <c r="B1304" s="183">
        <f t="shared" si="299"/>
        <v>44</v>
      </c>
      <c r="C1304" s="107" t="str">
        <f t="shared" si="300"/>
        <v>ATP</v>
      </c>
      <c r="D1304" s="2" t="s">
        <v>4210</v>
      </c>
      <c r="E1304" s="3">
        <v>44076</v>
      </c>
      <c r="F1304" s="3">
        <v>44132</v>
      </c>
      <c r="G1304" s="108">
        <f t="shared" si="301"/>
        <v>10</v>
      </c>
      <c r="H1304" s="108" t="str">
        <f t="shared" si="302"/>
        <v>수리불가</v>
      </c>
      <c r="I1304" s="112" t="s">
        <v>601</v>
      </c>
      <c r="J1304" s="4" t="s">
        <v>4210</v>
      </c>
      <c r="K1304" s="5" t="s">
        <v>4211</v>
      </c>
      <c r="L1304" s="6" t="str">
        <f t="shared" si="297"/>
        <v>ATP</v>
      </c>
      <c r="M1304" s="13" t="s">
        <v>403</v>
      </c>
      <c r="N1304" s="13" t="s">
        <v>4237</v>
      </c>
      <c r="O1304" s="13" t="s">
        <v>4225</v>
      </c>
      <c r="P1304" s="115" t="s">
        <v>4231</v>
      </c>
      <c r="Q1304" s="8" t="s">
        <v>4251</v>
      </c>
      <c r="R1304" s="2">
        <v>1</v>
      </c>
      <c r="S1304" s="9">
        <v>2320</v>
      </c>
      <c r="T1304" s="10">
        <f t="shared" si="303"/>
        <v>1160</v>
      </c>
      <c r="U1304" s="9">
        <v>0</v>
      </c>
      <c r="V1304" s="10">
        <f t="shared" si="304"/>
        <v>1160</v>
      </c>
      <c r="W1304" s="4" t="s">
        <v>122</v>
      </c>
      <c r="X1304" s="2"/>
      <c r="Y1304" s="11">
        <v>5</v>
      </c>
      <c r="Z1304" s="12">
        <f t="shared" si="298"/>
        <v>56</v>
      </c>
      <c r="AA1304" s="4" t="s">
        <v>117</v>
      </c>
      <c r="AC1304" s="176">
        <f t="shared" si="296"/>
        <v>0</v>
      </c>
    </row>
    <row r="1305" spans="2:29">
      <c r="B1305" s="183">
        <f t="shared" si="299"/>
        <v>36</v>
      </c>
      <c r="C1305" s="107" t="str">
        <f t="shared" si="300"/>
        <v>ATK</v>
      </c>
      <c r="D1305" s="2" t="s">
        <v>2519</v>
      </c>
      <c r="E1305" s="3">
        <v>44075</v>
      </c>
      <c r="F1305" s="3">
        <v>44076</v>
      </c>
      <c r="G1305" s="108">
        <f t="shared" si="301"/>
        <v>9</v>
      </c>
      <c r="H1305" s="108" t="str">
        <f t="shared" si="302"/>
        <v>완료</v>
      </c>
      <c r="I1305" s="112" t="s">
        <v>264</v>
      </c>
      <c r="J1305" s="4" t="s">
        <v>547</v>
      </c>
      <c r="K1305" s="5" t="s">
        <v>548</v>
      </c>
      <c r="L1305" s="6" t="str">
        <f t="shared" si="297"/>
        <v>6T2</v>
      </c>
      <c r="M1305" s="13" t="s">
        <v>213</v>
      </c>
      <c r="N1305" s="7" t="s">
        <v>226</v>
      </c>
      <c r="O1305" s="13" t="s">
        <v>3275</v>
      </c>
      <c r="P1305" s="115" t="s">
        <v>4258</v>
      </c>
      <c r="Q1305" s="8"/>
      <c r="R1305" s="2">
        <v>1</v>
      </c>
      <c r="S1305" s="9">
        <v>4000</v>
      </c>
      <c r="T1305" s="10">
        <f t="shared" si="303"/>
        <v>2000</v>
      </c>
      <c r="U1305" s="9">
        <v>0</v>
      </c>
      <c r="V1305" s="10">
        <f t="shared" si="304"/>
        <v>2000</v>
      </c>
      <c r="W1305" s="4" t="s">
        <v>249</v>
      </c>
      <c r="X1305" s="2"/>
      <c r="Y1305" s="11">
        <v>4</v>
      </c>
      <c r="Z1305" s="12">
        <f t="shared" si="298"/>
        <v>1</v>
      </c>
      <c r="AA1305" s="4" t="s">
        <v>27</v>
      </c>
      <c r="AC1305" s="176">
        <f t="shared" si="296"/>
        <v>0</v>
      </c>
    </row>
    <row r="1306" spans="2:29">
      <c r="B1306" s="183">
        <f t="shared" si="299"/>
        <v>36</v>
      </c>
      <c r="C1306" s="107" t="str">
        <f t="shared" si="300"/>
        <v>ATK</v>
      </c>
      <c r="D1306" s="2" t="s">
        <v>4259</v>
      </c>
      <c r="E1306" s="3">
        <v>44074</v>
      </c>
      <c r="F1306" s="3">
        <v>44078</v>
      </c>
      <c r="G1306" s="108">
        <f t="shared" si="301"/>
        <v>9</v>
      </c>
      <c r="H1306" s="108" t="str">
        <f t="shared" si="302"/>
        <v>완료</v>
      </c>
      <c r="I1306" s="112" t="s">
        <v>218</v>
      </c>
      <c r="J1306" s="4" t="s">
        <v>121</v>
      </c>
      <c r="K1306" s="5" t="s">
        <v>136</v>
      </c>
      <c r="L1306" s="6" t="str">
        <f t="shared" si="297"/>
        <v>5T1</v>
      </c>
      <c r="M1306" s="13" t="s">
        <v>4260</v>
      </c>
      <c r="N1306" s="7" t="s">
        <v>4261</v>
      </c>
      <c r="O1306" s="13" t="s">
        <v>4262</v>
      </c>
      <c r="P1306" s="115" t="s">
        <v>4263</v>
      </c>
      <c r="Q1306" s="8"/>
      <c r="R1306" s="2">
        <v>1</v>
      </c>
      <c r="S1306" s="9">
        <v>6000</v>
      </c>
      <c r="T1306" s="10">
        <f t="shared" si="303"/>
        <v>3000</v>
      </c>
      <c r="U1306" s="9">
        <v>40</v>
      </c>
      <c r="V1306" s="10">
        <f t="shared" si="304"/>
        <v>2960</v>
      </c>
      <c r="W1306" s="4" t="s">
        <v>122</v>
      </c>
      <c r="X1306" s="2"/>
      <c r="Y1306" s="11">
        <v>5</v>
      </c>
      <c r="Z1306" s="12">
        <f t="shared" si="298"/>
        <v>4</v>
      </c>
      <c r="AA1306" s="4" t="s">
        <v>117</v>
      </c>
      <c r="AC1306" s="176">
        <f t="shared" si="296"/>
        <v>3.6363636363636362E-2</v>
      </c>
    </row>
    <row r="1307" spans="2:29">
      <c r="B1307" s="183">
        <f t="shared" si="299"/>
        <v>45</v>
      </c>
      <c r="C1307" s="107" t="str">
        <f t="shared" si="300"/>
        <v>ATK</v>
      </c>
      <c r="D1307" s="2" t="s">
        <v>468</v>
      </c>
      <c r="E1307" s="3">
        <v>44078</v>
      </c>
      <c r="F1307" s="3">
        <v>44139</v>
      </c>
      <c r="G1307" s="108">
        <f t="shared" si="301"/>
        <v>11</v>
      </c>
      <c r="H1307" s="108" t="str">
        <f t="shared" si="302"/>
        <v>완료</v>
      </c>
      <c r="I1307" s="112" t="s">
        <v>218</v>
      </c>
      <c r="J1307" s="4" t="s">
        <v>243</v>
      </c>
      <c r="K1307" s="5" t="s">
        <v>243</v>
      </c>
      <c r="L1307" s="6" t="str">
        <f t="shared" si="297"/>
        <v>K5</v>
      </c>
      <c r="M1307" s="13" t="s">
        <v>4264</v>
      </c>
      <c r="N1307" s="7" t="s">
        <v>3456</v>
      </c>
      <c r="O1307" s="13" t="s">
        <v>4265</v>
      </c>
      <c r="P1307" s="115" t="s">
        <v>4266</v>
      </c>
      <c r="Q1307" s="8"/>
      <c r="R1307" s="2">
        <v>1</v>
      </c>
      <c r="S1307" s="9">
        <v>7000</v>
      </c>
      <c r="T1307" s="10">
        <f t="shared" si="303"/>
        <v>3500</v>
      </c>
      <c r="U1307" s="9">
        <v>6</v>
      </c>
      <c r="V1307" s="10">
        <f t="shared" si="304"/>
        <v>3494</v>
      </c>
      <c r="W1307" s="4" t="s">
        <v>122</v>
      </c>
      <c r="X1307" s="2"/>
      <c r="Y1307" s="11">
        <v>3</v>
      </c>
      <c r="Z1307" s="12">
        <f t="shared" si="298"/>
        <v>61</v>
      </c>
      <c r="AA1307" s="4" t="s">
        <v>117</v>
      </c>
      <c r="AC1307" s="176">
        <f t="shared" si="296"/>
        <v>5.454545454545455E-3</v>
      </c>
    </row>
    <row r="1308" spans="2:29">
      <c r="B1308" s="183">
        <f t="shared" si="299"/>
        <v>36</v>
      </c>
      <c r="C1308" s="107" t="str">
        <f t="shared" si="300"/>
        <v>ATK</v>
      </c>
      <c r="D1308" s="2" t="s">
        <v>4267</v>
      </c>
      <c r="E1308" s="3">
        <v>44078</v>
      </c>
      <c r="F1308" s="3">
        <v>44078</v>
      </c>
      <c r="G1308" s="108">
        <f t="shared" si="301"/>
        <v>9</v>
      </c>
      <c r="H1308" s="108" t="str">
        <f t="shared" si="302"/>
        <v>완료</v>
      </c>
      <c r="I1308" s="112" t="s">
        <v>218</v>
      </c>
      <c r="J1308" s="4" t="s">
        <v>121</v>
      </c>
      <c r="K1308" s="5" t="s">
        <v>136</v>
      </c>
      <c r="L1308" s="6" t="str">
        <f t="shared" si="297"/>
        <v>5T1</v>
      </c>
      <c r="M1308" s="13" t="s">
        <v>753</v>
      </c>
      <c r="N1308" s="7" t="s">
        <v>4268</v>
      </c>
      <c r="O1308" s="13" t="s">
        <v>4269</v>
      </c>
      <c r="P1308" s="115" t="s">
        <v>1617</v>
      </c>
      <c r="Q1308" s="8"/>
      <c r="R1308" s="2">
        <v>1</v>
      </c>
      <c r="S1308" s="9">
        <v>1000</v>
      </c>
      <c r="T1308" s="10">
        <f t="shared" si="303"/>
        <v>500</v>
      </c>
      <c r="U1308" s="9">
        <v>60</v>
      </c>
      <c r="V1308" s="10">
        <f t="shared" si="304"/>
        <v>440</v>
      </c>
      <c r="W1308" s="4" t="s">
        <v>122</v>
      </c>
      <c r="X1308" s="2"/>
      <c r="Y1308" s="11">
        <v>2</v>
      </c>
      <c r="Z1308" s="12">
        <f t="shared" si="298"/>
        <v>0</v>
      </c>
      <c r="AA1308" s="4" t="s">
        <v>4270</v>
      </c>
      <c r="AC1308" s="176">
        <f t="shared" si="296"/>
        <v>5.4545454545454543E-2</v>
      </c>
    </row>
    <row r="1309" spans="2:29">
      <c r="B1309" s="183">
        <f t="shared" si="299"/>
        <v>36</v>
      </c>
      <c r="C1309" s="107" t="str">
        <f t="shared" si="300"/>
        <v>ATK</v>
      </c>
      <c r="D1309" s="2" t="s">
        <v>4271</v>
      </c>
      <c r="E1309" s="3">
        <v>44077</v>
      </c>
      <c r="F1309" s="3">
        <v>44077</v>
      </c>
      <c r="G1309" s="108">
        <f t="shared" si="301"/>
        <v>9</v>
      </c>
      <c r="H1309" s="108" t="str">
        <f t="shared" si="302"/>
        <v>완료</v>
      </c>
      <c r="I1309" s="112" t="s">
        <v>218</v>
      </c>
      <c r="J1309" s="4" t="s">
        <v>115</v>
      </c>
      <c r="K1309" s="5" t="s">
        <v>138</v>
      </c>
      <c r="L1309" s="6" t="str">
        <f t="shared" si="297"/>
        <v>EE1</v>
      </c>
      <c r="M1309" s="13" t="s">
        <v>256</v>
      </c>
      <c r="N1309" s="7" t="s">
        <v>4272</v>
      </c>
      <c r="O1309" s="13" t="s">
        <v>4274</v>
      </c>
      <c r="P1309" s="115" t="s">
        <v>4273</v>
      </c>
      <c r="Q1309" s="8"/>
      <c r="R1309" s="2">
        <v>1</v>
      </c>
      <c r="S1309" s="9">
        <v>3500</v>
      </c>
      <c r="T1309" s="10">
        <f t="shared" si="303"/>
        <v>1750</v>
      </c>
      <c r="U1309" s="9"/>
      <c r="V1309" s="10">
        <f t="shared" si="304"/>
        <v>1750</v>
      </c>
      <c r="W1309" s="4" t="s">
        <v>249</v>
      </c>
      <c r="X1309" s="2"/>
      <c r="Y1309" s="11">
        <v>3</v>
      </c>
      <c r="Z1309" s="12">
        <f t="shared" si="298"/>
        <v>0</v>
      </c>
      <c r="AA1309" s="4" t="s">
        <v>212</v>
      </c>
      <c r="AC1309" s="176">
        <f t="shared" si="296"/>
        <v>0</v>
      </c>
    </row>
    <row r="1310" spans="2:29">
      <c r="B1310" s="183">
        <f t="shared" si="299"/>
        <v>36</v>
      </c>
      <c r="C1310" s="107" t="str">
        <f t="shared" si="300"/>
        <v>ATK</v>
      </c>
      <c r="D1310" s="2" t="s">
        <v>174</v>
      </c>
      <c r="E1310" s="3">
        <v>44067</v>
      </c>
      <c r="F1310" s="3">
        <v>44078</v>
      </c>
      <c r="G1310" s="108">
        <f t="shared" si="301"/>
        <v>9</v>
      </c>
      <c r="H1310" s="108" t="str">
        <f t="shared" si="302"/>
        <v>완료</v>
      </c>
      <c r="I1310" s="112" t="s">
        <v>218</v>
      </c>
      <c r="J1310" s="4" t="s">
        <v>115</v>
      </c>
      <c r="K1310" s="5" t="s">
        <v>138</v>
      </c>
      <c r="L1310" s="6" t="str">
        <f t="shared" si="297"/>
        <v>EE1</v>
      </c>
      <c r="M1310" s="13" t="s">
        <v>879</v>
      </c>
      <c r="N1310" s="7" t="s">
        <v>4207</v>
      </c>
      <c r="O1310" s="13" t="s">
        <v>543</v>
      </c>
      <c r="P1310" s="115" t="s">
        <v>4275</v>
      </c>
      <c r="Q1310" s="8" t="s">
        <v>4276</v>
      </c>
      <c r="R1310" s="2">
        <v>1</v>
      </c>
      <c r="S1310" s="9">
        <v>4000</v>
      </c>
      <c r="T1310" s="10">
        <f t="shared" si="303"/>
        <v>2000</v>
      </c>
      <c r="U1310" s="9">
        <v>5</v>
      </c>
      <c r="V1310" s="10">
        <f t="shared" si="304"/>
        <v>1995</v>
      </c>
      <c r="W1310" s="4" t="s">
        <v>122</v>
      </c>
      <c r="X1310" s="2"/>
      <c r="Y1310" s="11">
        <v>4</v>
      </c>
      <c r="Z1310" s="12">
        <f t="shared" si="298"/>
        <v>11</v>
      </c>
      <c r="AA1310" s="4" t="s">
        <v>120</v>
      </c>
      <c r="AC1310" s="176">
        <f t="shared" si="296"/>
        <v>4.5454545454545452E-3</v>
      </c>
    </row>
    <row r="1311" spans="2:29">
      <c r="B1311" s="183">
        <f t="shared" si="299"/>
        <v>36</v>
      </c>
      <c r="C1311" s="107" t="str">
        <f t="shared" si="300"/>
        <v>ATK</v>
      </c>
      <c r="D1311" s="2" t="s">
        <v>4277</v>
      </c>
      <c r="E1311" s="3">
        <v>44076</v>
      </c>
      <c r="F1311" s="3">
        <v>44078</v>
      </c>
      <c r="G1311" s="108">
        <f t="shared" si="301"/>
        <v>9</v>
      </c>
      <c r="H1311" s="108" t="str">
        <f t="shared" si="302"/>
        <v>완료</v>
      </c>
      <c r="I1311" s="112" t="s">
        <v>218</v>
      </c>
      <c r="J1311" s="4" t="s">
        <v>121</v>
      </c>
      <c r="K1311" s="5" t="s">
        <v>136</v>
      </c>
      <c r="L1311" s="6" t="str">
        <f t="shared" si="297"/>
        <v>5T1</v>
      </c>
      <c r="M1311" s="13" t="s">
        <v>207</v>
      </c>
      <c r="N1311" s="7" t="s">
        <v>4279</v>
      </c>
      <c r="O1311" s="13" t="s">
        <v>4280</v>
      </c>
      <c r="P1311" s="115" t="s">
        <v>4281</v>
      </c>
      <c r="Q1311" s="8"/>
      <c r="R1311" s="2">
        <v>1</v>
      </c>
      <c r="S1311" s="9">
        <v>3000</v>
      </c>
      <c r="T1311" s="10">
        <f t="shared" si="303"/>
        <v>1500</v>
      </c>
      <c r="U1311" s="9">
        <v>5</v>
      </c>
      <c r="V1311" s="10">
        <f t="shared" si="304"/>
        <v>1495</v>
      </c>
      <c r="W1311" s="4" t="s">
        <v>122</v>
      </c>
      <c r="X1311" s="2"/>
      <c r="Y1311" s="11">
        <v>8</v>
      </c>
      <c r="Z1311" s="12">
        <f t="shared" si="298"/>
        <v>2</v>
      </c>
      <c r="AA1311" s="4" t="s">
        <v>4278</v>
      </c>
      <c r="AC1311" s="176">
        <f t="shared" si="296"/>
        <v>4.5454545454545452E-3</v>
      </c>
    </row>
    <row r="1312" spans="2:29">
      <c r="B1312" s="183">
        <f t="shared" si="299"/>
        <v>36</v>
      </c>
      <c r="C1312" s="107" t="str">
        <f t="shared" si="300"/>
        <v>ATK</v>
      </c>
      <c r="D1312" s="2" t="s">
        <v>269</v>
      </c>
      <c r="E1312" s="3">
        <v>44075</v>
      </c>
      <c r="F1312" s="3">
        <v>44078</v>
      </c>
      <c r="G1312" s="108">
        <f t="shared" si="301"/>
        <v>9</v>
      </c>
      <c r="H1312" s="108" t="str">
        <f t="shared" si="302"/>
        <v>완료</v>
      </c>
      <c r="I1312" s="112" t="s">
        <v>218</v>
      </c>
      <c r="J1312" s="4" t="s">
        <v>121</v>
      </c>
      <c r="K1312" s="5" t="s">
        <v>136</v>
      </c>
      <c r="L1312" s="6" t="str">
        <f t="shared" si="297"/>
        <v>5T1</v>
      </c>
      <c r="M1312" s="13" t="s">
        <v>270</v>
      </c>
      <c r="N1312" s="13" t="s">
        <v>3510</v>
      </c>
      <c r="O1312" s="7" t="s">
        <v>270</v>
      </c>
      <c r="P1312" s="115" t="s">
        <v>271</v>
      </c>
      <c r="Q1312" s="8"/>
      <c r="R1312" s="2">
        <v>1</v>
      </c>
      <c r="S1312" s="9">
        <v>1892</v>
      </c>
      <c r="T1312" s="10">
        <f t="shared" si="303"/>
        <v>946</v>
      </c>
      <c r="U1312" s="9">
        <v>25</v>
      </c>
      <c r="V1312" s="10">
        <f t="shared" si="304"/>
        <v>921</v>
      </c>
      <c r="W1312" s="4" t="s">
        <v>122</v>
      </c>
      <c r="X1312" s="2"/>
      <c r="Y1312" s="11">
        <v>2</v>
      </c>
      <c r="Z1312" s="12">
        <f t="shared" si="298"/>
        <v>3</v>
      </c>
      <c r="AA1312" s="4" t="s">
        <v>174</v>
      </c>
      <c r="AC1312" s="176">
        <f t="shared" si="296"/>
        <v>2.2727272727272728E-2</v>
      </c>
    </row>
    <row r="1313" spans="2:29">
      <c r="B1313" s="183">
        <f t="shared" si="299"/>
        <v>38</v>
      </c>
      <c r="C1313" s="107" t="str">
        <f t="shared" si="300"/>
        <v>ATK</v>
      </c>
      <c r="D1313" s="2" t="s">
        <v>4259</v>
      </c>
      <c r="E1313" s="3">
        <v>44074</v>
      </c>
      <c r="F1313" s="3">
        <v>44090</v>
      </c>
      <c r="G1313" s="108">
        <f t="shared" si="301"/>
        <v>9</v>
      </c>
      <c r="H1313" s="108" t="str">
        <f t="shared" si="302"/>
        <v>완료</v>
      </c>
      <c r="I1313" s="112" t="s">
        <v>514</v>
      </c>
      <c r="J1313" s="4" t="s">
        <v>121</v>
      </c>
      <c r="K1313" s="5" t="s">
        <v>136</v>
      </c>
      <c r="L1313" s="6" t="str">
        <f t="shared" si="297"/>
        <v>5T1</v>
      </c>
      <c r="M1313" s="13" t="s">
        <v>699</v>
      </c>
      <c r="N1313" s="7" t="s">
        <v>813</v>
      </c>
      <c r="O1313" s="13" t="s">
        <v>4262</v>
      </c>
      <c r="P1313" s="115" t="s">
        <v>4263</v>
      </c>
      <c r="Q1313" s="8" t="s">
        <v>4282</v>
      </c>
      <c r="R1313" s="2">
        <v>1</v>
      </c>
      <c r="S1313" s="9">
        <v>6000</v>
      </c>
      <c r="T1313" s="10">
        <f t="shared" ref="T1313:T1314" si="305">(S1313*50)/100*R1313</f>
        <v>3000</v>
      </c>
      <c r="U1313" s="9">
        <v>800</v>
      </c>
      <c r="V1313" s="10">
        <f t="shared" ref="V1313:V1314" si="306">T1313-U1313</f>
        <v>2200</v>
      </c>
      <c r="W1313" s="4" t="s">
        <v>123</v>
      </c>
      <c r="X1313" s="2" t="s">
        <v>4431</v>
      </c>
      <c r="Y1313" s="11">
        <v>1</v>
      </c>
      <c r="Z1313" s="12">
        <f t="shared" si="298"/>
        <v>16</v>
      </c>
      <c r="AA1313" s="4" t="s">
        <v>117</v>
      </c>
      <c r="AC1313" s="176">
        <f t="shared" si="296"/>
        <v>0.72727272727272729</v>
      </c>
    </row>
    <row r="1314" spans="2:29">
      <c r="B1314" s="183">
        <f t="shared" si="299"/>
        <v>38</v>
      </c>
      <c r="C1314" s="107" t="str">
        <f t="shared" si="300"/>
        <v>ATK</v>
      </c>
      <c r="D1314" s="2" t="s">
        <v>4259</v>
      </c>
      <c r="E1314" s="3">
        <v>44074</v>
      </c>
      <c r="F1314" s="3">
        <v>44090</v>
      </c>
      <c r="G1314" s="108">
        <f t="shared" si="301"/>
        <v>9</v>
      </c>
      <c r="H1314" s="108" t="str">
        <f t="shared" si="302"/>
        <v>수리불가</v>
      </c>
      <c r="I1314" s="112" t="s">
        <v>670</v>
      </c>
      <c r="J1314" s="4" t="s">
        <v>121</v>
      </c>
      <c r="K1314" s="5" t="s">
        <v>136</v>
      </c>
      <c r="L1314" s="6" t="str">
        <f t="shared" si="297"/>
        <v>5T1</v>
      </c>
      <c r="M1314" s="13" t="s">
        <v>699</v>
      </c>
      <c r="N1314" s="7" t="s">
        <v>813</v>
      </c>
      <c r="O1314" s="13" t="s">
        <v>4262</v>
      </c>
      <c r="P1314" s="115" t="s">
        <v>4263</v>
      </c>
      <c r="Q1314" s="8" t="s">
        <v>4283</v>
      </c>
      <c r="R1314" s="2">
        <v>1</v>
      </c>
      <c r="S1314" s="9">
        <v>6000</v>
      </c>
      <c r="T1314" s="10">
        <f t="shared" si="305"/>
        <v>3000</v>
      </c>
      <c r="U1314" s="9">
        <v>0</v>
      </c>
      <c r="V1314" s="10">
        <f t="shared" si="306"/>
        <v>3000</v>
      </c>
      <c r="W1314" s="4" t="s">
        <v>123</v>
      </c>
      <c r="X1314" s="2" t="s">
        <v>4431</v>
      </c>
      <c r="Y1314" s="11">
        <v>1</v>
      </c>
      <c r="Z1314" s="12">
        <f t="shared" si="298"/>
        <v>16</v>
      </c>
      <c r="AA1314" s="4" t="s">
        <v>117</v>
      </c>
      <c r="AC1314" s="176">
        <f t="shared" si="296"/>
        <v>0</v>
      </c>
    </row>
    <row r="1315" spans="2:29">
      <c r="B1315" s="183">
        <f t="shared" si="299"/>
        <v>37</v>
      </c>
      <c r="C1315" s="107" t="str">
        <f t="shared" si="300"/>
        <v>ATK</v>
      </c>
      <c r="D1315" s="2" t="s">
        <v>4287</v>
      </c>
      <c r="E1315" s="3">
        <v>44081</v>
      </c>
      <c r="F1315" s="3">
        <v>44081</v>
      </c>
      <c r="G1315" s="108">
        <f t="shared" si="301"/>
        <v>9</v>
      </c>
      <c r="H1315" s="108" t="str">
        <f t="shared" si="302"/>
        <v>완료</v>
      </c>
      <c r="I1315" s="112" t="s">
        <v>218</v>
      </c>
      <c r="J1315" s="4" t="s">
        <v>251</v>
      </c>
      <c r="K1315" s="5" t="s">
        <v>251</v>
      </c>
      <c r="L1315" s="6" t="str">
        <f t="shared" si="297"/>
        <v>Oth</v>
      </c>
      <c r="M1315" s="13" t="s">
        <v>4284</v>
      </c>
      <c r="N1315" s="7" t="s">
        <v>4285</v>
      </c>
      <c r="O1315" s="13" t="s">
        <v>4286</v>
      </c>
      <c r="P1315" s="115"/>
      <c r="Q1315" s="8"/>
      <c r="R1315" s="2">
        <v>1</v>
      </c>
      <c r="S1315" s="9">
        <v>600</v>
      </c>
      <c r="T1315" s="10">
        <f t="shared" si="303"/>
        <v>300</v>
      </c>
      <c r="U1315" s="9">
        <v>4</v>
      </c>
      <c r="V1315" s="10">
        <f t="shared" si="304"/>
        <v>296</v>
      </c>
      <c r="W1315" s="4" t="s">
        <v>122</v>
      </c>
      <c r="X1315" s="2"/>
      <c r="Y1315" s="11">
        <v>1</v>
      </c>
      <c r="Z1315" s="12">
        <f t="shared" si="298"/>
        <v>0</v>
      </c>
      <c r="AA1315" s="4" t="s">
        <v>117</v>
      </c>
      <c r="AC1315" s="176">
        <f t="shared" si="296"/>
        <v>3.6363636363636364E-3</v>
      </c>
    </row>
    <row r="1316" spans="2:29">
      <c r="B1316" s="183">
        <f t="shared" si="299"/>
        <v>37</v>
      </c>
      <c r="C1316" s="107" t="str">
        <f t="shared" si="300"/>
        <v>ATK</v>
      </c>
      <c r="D1316" s="2" t="s">
        <v>4288</v>
      </c>
      <c r="E1316" s="3">
        <v>44081</v>
      </c>
      <c r="F1316" s="3">
        <v>44081</v>
      </c>
      <c r="G1316" s="108">
        <f t="shared" si="301"/>
        <v>9</v>
      </c>
      <c r="H1316" s="108" t="str">
        <f t="shared" si="302"/>
        <v>완료</v>
      </c>
      <c r="I1316" s="112" t="s">
        <v>218</v>
      </c>
      <c r="J1316" s="4" t="s">
        <v>4289</v>
      </c>
      <c r="K1316" s="5" t="s">
        <v>4290</v>
      </c>
      <c r="L1316" s="6" t="str">
        <f t="shared" si="297"/>
        <v>EE2</v>
      </c>
      <c r="M1316" s="13" t="s">
        <v>226</v>
      </c>
      <c r="N1316" s="7" t="s">
        <v>4291</v>
      </c>
      <c r="O1316" s="13" t="s">
        <v>4292</v>
      </c>
      <c r="P1316" s="115" t="s">
        <v>4293</v>
      </c>
      <c r="Q1316" s="8"/>
      <c r="R1316" s="2">
        <v>1</v>
      </c>
      <c r="S1316" s="9">
        <v>1500</v>
      </c>
      <c r="T1316" s="10">
        <f t="shared" si="303"/>
        <v>750</v>
      </c>
      <c r="U1316" s="9">
        <v>10</v>
      </c>
      <c r="V1316" s="10">
        <f t="shared" si="304"/>
        <v>740</v>
      </c>
      <c r="W1316" s="4" t="s">
        <v>122</v>
      </c>
      <c r="X1316" s="2"/>
      <c r="Y1316" s="11">
        <v>3</v>
      </c>
      <c r="Z1316" s="12">
        <f t="shared" si="298"/>
        <v>0</v>
      </c>
      <c r="AA1316" s="4" t="s">
        <v>4294</v>
      </c>
      <c r="AC1316" s="176">
        <f t="shared" si="296"/>
        <v>9.0909090909090905E-3</v>
      </c>
    </row>
    <row r="1317" spans="2:29">
      <c r="B1317" s="183">
        <f t="shared" si="299"/>
        <v>37</v>
      </c>
      <c r="C1317" s="107" t="str">
        <f t="shared" si="300"/>
        <v>ATK</v>
      </c>
      <c r="D1317" s="2" t="s">
        <v>4295</v>
      </c>
      <c r="E1317" s="3">
        <v>44078</v>
      </c>
      <c r="F1317" s="3">
        <v>44081</v>
      </c>
      <c r="G1317" s="108">
        <f t="shared" si="301"/>
        <v>9</v>
      </c>
      <c r="H1317" s="108" t="str">
        <f t="shared" si="302"/>
        <v>완료</v>
      </c>
      <c r="I1317" s="112" t="s">
        <v>218</v>
      </c>
      <c r="J1317" s="4" t="s">
        <v>127</v>
      </c>
      <c r="K1317" s="5" t="s">
        <v>135</v>
      </c>
      <c r="L1317" s="6" t="str">
        <f t="shared" si="297"/>
        <v>1T3</v>
      </c>
      <c r="M1317" s="13" t="s">
        <v>1580</v>
      </c>
      <c r="N1317" s="7" t="s">
        <v>4296</v>
      </c>
      <c r="O1317" s="13" t="s">
        <v>4297</v>
      </c>
      <c r="P1317" s="115"/>
      <c r="Q1317" s="8"/>
      <c r="R1317" s="2">
        <v>1</v>
      </c>
      <c r="S1317" s="9">
        <v>8000</v>
      </c>
      <c r="T1317" s="10">
        <f t="shared" ref="T1317:T1350" si="307">(S1317*50)/100*R1317</f>
        <v>4000</v>
      </c>
      <c r="U1317" s="9">
        <v>25</v>
      </c>
      <c r="V1317" s="10">
        <f t="shared" ref="V1317:V1350" si="308">T1317-U1317</f>
        <v>3975</v>
      </c>
      <c r="W1317" s="4" t="s">
        <v>122</v>
      </c>
      <c r="X1317" s="2"/>
      <c r="Y1317" s="11">
        <v>3</v>
      </c>
      <c r="Z1317" s="12">
        <f t="shared" si="298"/>
        <v>3</v>
      </c>
      <c r="AA1317" s="4" t="s">
        <v>117</v>
      </c>
      <c r="AC1317" s="176">
        <f t="shared" si="296"/>
        <v>2.2727272727272728E-2</v>
      </c>
    </row>
    <row r="1318" spans="2:29">
      <c r="B1318" s="183">
        <f t="shared" si="299"/>
        <v>37</v>
      </c>
      <c r="C1318" s="107" t="str">
        <f t="shared" si="300"/>
        <v>ATK</v>
      </c>
      <c r="D1318" s="2" t="s">
        <v>4298</v>
      </c>
      <c r="E1318" s="3">
        <v>44077</v>
      </c>
      <c r="F1318" s="3">
        <v>44081</v>
      </c>
      <c r="G1318" s="108">
        <f t="shared" si="301"/>
        <v>9</v>
      </c>
      <c r="H1318" s="108" t="str">
        <f t="shared" si="302"/>
        <v>완료</v>
      </c>
      <c r="I1318" s="112" t="s">
        <v>218</v>
      </c>
      <c r="J1318" s="4" t="s">
        <v>547</v>
      </c>
      <c r="K1318" s="5" t="s">
        <v>548</v>
      </c>
      <c r="L1318" s="6" t="str">
        <f t="shared" si="297"/>
        <v>6T2</v>
      </c>
      <c r="M1318" s="13" t="s">
        <v>4299</v>
      </c>
      <c r="N1318" s="7" t="s">
        <v>4300</v>
      </c>
      <c r="O1318" s="7" t="s">
        <v>4300</v>
      </c>
      <c r="P1318" s="115" t="s">
        <v>4301</v>
      </c>
      <c r="Q1318" s="8"/>
      <c r="R1318" s="2">
        <v>1</v>
      </c>
      <c r="S1318" s="9">
        <v>5000</v>
      </c>
      <c r="T1318" s="10">
        <f t="shared" si="307"/>
        <v>2500</v>
      </c>
      <c r="U1318" s="9">
        <v>20</v>
      </c>
      <c r="V1318" s="10">
        <f t="shared" si="308"/>
        <v>2480</v>
      </c>
      <c r="W1318" s="4" t="s">
        <v>122</v>
      </c>
      <c r="X1318" s="2"/>
      <c r="Y1318" s="11">
        <v>1</v>
      </c>
      <c r="Z1318" s="12">
        <f t="shared" si="298"/>
        <v>4</v>
      </c>
      <c r="AA1318" s="4" t="s">
        <v>4302</v>
      </c>
      <c r="AC1318" s="176">
        <f t="shared" si="296"/>
        <v>1.8181818181818181E-2</v>
      </c>
    </row>
    <row r="1319" spans="2:29">
      <c r="B1319" s="183">
        <f t="shared" si="299"/>
        <v>37</v>
      </c>
      <c r="C1319" s="107" t="str">
        <f t="shared" si="300"/>
        <v>ATK</v>
      </c>
      <c r="D1319" s="2" t="s">
        <v>4303</v>
      </c>
      <c r="E1319" s="3">
        <v>44081</v>
      </c>
      <c r="F1319" s="3">
        <v>44081</v>
      </c>
      <c r="G1319" s="108">
        <f t="shared" si="301"/>
        <v>9</v>
      </c>
      <c r="H1319" s="108" t="str">
        <f t="shared" si="302"/>
        <v>완료</v>
      </c>
      <c r="I1319" s="112" t="s">
        <v>218</v>
      </c>
      <c r="J1319" s="4" t="s">
        <v>115</v>
      </c>
      <c r="K1319" s="5" t="s">
        <v>116</v>
      </c>
      <c r="L1319" s="6" t="str">
        <f t="shared" si="297"/>
        <v>EE2</v>
      </c>
      <c r="M1319" s="13" t="s">
        <v>1174</v>
      </c>
      <c r="N1319" s="7" t="s">
        <v>4304</v>
      </c>
      <c r="O1319" s="13" t="s">
        <v>589</v>
      </c>
      <c r="P1319" s="115" t="s">
        <v>4305</v>
      </c>
      <c r="Q1319" s="8"/>
      <c r="R1319" s="2">
        <v>1</v>
      </c>
      <c r="S1319" s="9">
        <v>800</v>
      </c>
      <c r="T1319" s="10">
        <f t="shared" si="307"/>
        <v>400</v>
      </c>
      <c r="U1319" s="9">
        <v>1</v>
      </c>
      <c r="V1319" s="10">
        <f t="shared" si="308"/>
        <v>399</v>
      </c>
      <c r="W1319" s="4" t="s">
        <v>122</v>
      </c>
      <c r="X1319" s="2"/>
      <c r="Y1319" s="11">
        <v>1</v>
      </c>
      <c r="Z1319" s="12">
        <f t="shared" si="298"/>
        <v>0</v>
      </c>
      <c r="AA1319" s="4" t="s">
        <v>117</v>
      </c>
      <c r="AC1319" s="176">
        <f t="shared" si="296"/>
        <v>9.0909090909090909E-4</v>
      </c>
    </row>
    <row r="1320" spans="2:29">
      <c r="B1320" s="183">
        <f t="shared" si="299"/>
        <v>37</v>
      </c>
      <c r="C1320" s="107" t="str">
        <f t="shared" si="300"/>
        <v>ATK</v>
      </c>
      <c r="D1320" s="2" t="s">
        <v>1393</v>
      </c>
      <c r="E1320" s="3">
        <v>44069</v>
      </c>
      <c r="F1320" s="3">
        <v>44081</v>
      </c>
      <c r="G1320" s="108">
        <f t="shared" si="301"/>
        <v>9</v>
      </c>
      <c r="H1320" s="108" t="str">
        <f t="shared" si="302"/>
        <v>완료</v>
      </c>
      <c r="I1320" s="112" t="s">
        <v>218</v>
      </c>
      <c r="J1320" s="4" t="s">
        <v>132</v>
      </c>
      <c r="K1320" s="5" t="s">
        <v>134</v>
      </c>
      <c r="L1320" s="6" t="str">
        <f t="shared" si="297"/>
        <v>2T1</v>
      </c>
      <c r="M1320" s="13" t="s">
        <v>270</v>
      </c>
      <c r="N1320" s="7" t="s">
        <v>4181</v>
      </c>
      <c r="O1320" s="13" t="s">
        <v>270</v>
      </c>
      <c r="P1320" s="115" t="s">
        <v>4308</v>
      </c>
      <c r="Q1320" s="8" t="s">
        <v>4309</v>
      </c>
      <c r="R1320" s="2">
        <v>1</v>
      </c>
      <c r="S1320" s="9">
        <v>910</v>
      </c>
      <c r="T1320" s="10">
        <f t="shared" si="307"/>
        <v>455</v>
      </c>
      <c r="U1320" s="9">
        <v>0</v>
      </c>
      <c r="V1320" s="10">
        <f t="shared" si="308"/>
        <v>455</v>
      </c>
      <c r="W1320" s="4" t="s">
        <v>122</v>
      </c>
      <c r="X1320" s="2"/>
      <c r="Y1320" s="11">
        <v>4</v>
      </c>
      <c r="Z1320" s="12">
        <f t="shared" si="298"/>
        <v>12</v>
      </c>
      <c r="AA1320" s="4" t="s">
        <v>120</v>
      </c>
      <c r="AC1320" s="176">
        <f t="shared" si="296"/>
        <v>0</v>
      </c>
    </row>
    <row r="1321" spans="2:29">
      <c r="B1321" s="183">
        <f t="shared" si="299"/>
        <v>37</v>
      </c>
      <c r="C1321" s="107" t="str">
        <f t="shared" si="300"/>
        <v>ATK</v>
      </c>
      <c r="D1321" s="2" t="s">
        <v>1393</v>
      </c>
      <c r="E1321" s="3">
        <v>44069</v>
      </c>
      <c r="F1321" s="3">
        <v>44081</v>
      </c>
      <c r="G1321" s="108">
        <f t="shared" si="301"/>
        <v>9</v>
      </c>
      <c r="H1321" s="108" t="str">
        <f t="shared" si="302"/>
        <v>완료</v>
      </c>
      <c r="I1321" s="112" t="s">
        <v>218</v>
      </c>
      <c r="J1321" s="4" t="s">
        <v>132</v>
      </c>
      <c r="K1321" s="5" t="s">
        <v>134</v>
      </c>
      <c r="L1321" s="6" t="str">
        <f t="shared" si="297"/>
        <v>2T1</v>
      </c>
      <c r="M1321" s="13" t="s">
        <v>270</v>
      </c>
      <c r="N1321" s="7" t="s">
        <v>4181</v>
      </c>
      <c r="O1321" s="13" t="s">
        <v>270</v>
      </c>
      <c r="P1321" s="115" t="s">
        <v>4308</v>
      </c>
      <c r="Q1321" s="8" t="s">
        <v>4310</v>
      </c>
      <c r="R1321" s="2">
        <v>1</v>
      </c>
      <c r="S1321" s="9">
        <v>910</v>
      </c>
      <c r="T1321" s="10">
        <f t="shared" si="307"/>
        <v>455</v>
      </c>
      <c r="U1321" s="9">
        <v>0</v>
      </c>
      <c r="V1321" s="10">
        <f t="shared" si="308"/>
        <v>455</v>
      </c>
      <c r="W1321" s="4" t="s">
        <v>122</v>
      </c>
      <c r="X1321" s="2"/>
      <c r="Y1321" s="11">
        <v>3</v>
      </c>
      <c r="Z1321" s="12">
        <f t="shared" si="298"/>
        <v>12</v>
      </c>
      <c r="AA1321" s="4" t="s">
        <v>120</v>
      </c>
      <c r="AC1321" s="176">
        <f t="shared" si="296"/>
        <v>0</v>
      </c>
    </row>
    <row r="1322" spans="2:29">
      <c r="B1322" s="183">
        <f t="shared" si="299"/>
        <v>37</v>
      </c>
      <c r="C1322" s="107" t="str">
        <f t="shared" si="300"/>
        <v>ATK</v>
      </c>
      <c r="D1322" s="2" t="s">
        <v>1393</v>
      </c>
      <c r="E1322" s="3">
        <v>44069</v>
      </c>
      <c r="F1322" s="3">
        <v>44081</v>
      </c>
      <c r="G1322" s="108">
        <f t="shared" si="301"/>
        <v>9</v>
      </c>
      <c r="H1322" s="108" t="str">
        <f t="shared" si="302"/>
        <v>완료</v>
      </c>
      <c r="I1322" s="112" t="s">
        <v>218</v>
      </c>
      <c r="J1322" s="4" t="s">
        <v>132</v>
      </c>
      <c r="K1322" s="5" t="s">
        <v>134</v>
      </c>
      <c r="L1322" s="6" t="str">
        <f t="shared" si="297"/>
        <v>2T1</v>
      </c>
      <c r="M1322" s="13" t="s">
        <v>270</v>
      </c>
      <c r="N1322" s="7" t="s">
        <v>4181</v>
      </c>
      <c r="O1322" s="13" t="s">
        <v>270</v>
      </c>
      <c r="P1322" s="115" t="s">
        <v>4308</v>
      </c>
      <c r="Q1322" s="8" t="s">
        <v>4311</v>
      </c>
      <c r="R1322" s="2">
        <v>1</v>
      </c>
      <c r="S1322" s="9">
        <v>910</v>
      </c>
      <c r="T1322" s="10">
        <f t="shared" si="307"/>
        <v>455</v>
      </c>
      <c r="U1322" s="9">
        <v>0</v>
      </c>
      <c r="V1322" s="10">
        <f t="shared" si="308"/>
        <v>455</v>
      </c>
      <c r="W1322" s="4" t="s">
        <v>122</v>
      </c>
      <c r="X1322" s="2"/>
      <c r="Y1322" s="11">
        <v>3</v>
      </c>
      <c r="Z1322" s="12">
        <f t="shared" si="298"/>
        <v>12</v>
      </c>
      <c r="AA1322" s="4" t="s">
        <v>120</v>
      </c>
      <c r="AC1322" s="176">
        <f t="shared" si="296"/>
        <v>0</v>
      </c>
    </row>
    <row r="1323" spans="2:29">
      <c r="B1323" s="183">
        <f t="shared" si="299"/>
        <v>37</v>
      </c>
      <c r="C1323" s="107" t="str">
        <f t="shared" si="300"/>
        <v>ATK</v>
      </c>
      <c r="D1323" s="2" t="s">
        <v>4312</v>
      </c>
      <c r="E1323" s="3">
        <v>44081</v>
      </c>
      <c r="F1323" s="3">
        <v>44081</v>
      </c>
      <c r="G1323" s="108">
        <f t="shared" si="301"/>
        <v>9</v>
      </c>
      <c r="H1323" s="108" t="str">
        <f t="shared" si="302"/>
        <v>완료</v>
      </c>
      <c r="I1323" s="112" t="s">
        <v>218</v>
      </c>
      <c r="J1323" s="4" t="s">
        <v>115</v>
      </c>
      <c r="K1323" s="5" t="s">
        <v>116</v>
      </c>
      <c r="L1323" s="6" t="str">
        <f t="shared" si="297"/>
        <v>EE2</v>
      </c>
      <c r="M1323" s="13" t="s">
        <v>4314</v>
      </c>
      <c r="N1323" s="7" t="s">
        <v>4313</v>
      </c>
      <c r="O1323" s="13" t="s">
        <v>4315</v>
      </c>
      <c r="P1323" s="115"/>
      <c r="Q1323" s="8"/>
      <c r="R1323" s="2">
        <v>1</v>
      </c>
      <c r="S1323" s="9">
        <v>600</v>
      </c>
      <c r="T1323" s="10">
        <f t="shared" si="307"/>
        <v>300</v>
      </c>
      <c r="U1323" s="9">
        <v>4</v>
      </c>
      <c r="V1323" s="10">
        <f t="shared" si="308"/>
        <v>296</v>
      </c>
      <c r="W1323" s="4" t="s">
        <v>122</v>
      </c>
      <c r="X1323" s="2"/>
      <c r="Y1323" s="11">
        <v>1</v>
      </c>
      <c r="Z1323" s="12">
        <f t="shared" si="298"/>
        <v>0</v>
      </c>
      <c r="AA1323" s="4" t="s">
        <v>117</v>
      </c>
      <c r="AC1323" s="176">
        <f t="shared" si="296"/>
        <v>3.6363636363636364E-3</v>
      </c>
    </row>
    <row r="1324" spans="2:29">
      <c r="B1324" s="183">
        <f t="shared" si="299"/>
        <v>37</v>
      </c>
      <c r="C1324" s="107" t="str">
        <f t="shared" si="300"/>
        <v>ATK</v>
      </c>
      <c r="D1324" s="2" t="s">
        <v>4316</v>
      </c>
      <c r="E1324" s="3">
        <v>44081</v>
      </c>
      <c r="F1324" s="3">
        <v>44081</v>
      </c>
      <c r="G1324" s="108">
        <f t="shared" si="301"/>
        <v>9</v>
      </c>
      <c r="H1324" s="108" t="str">
        <f t="shared" si="302"/>
        <v>Other</v>
      </c>
      <c r="I1324" s="112" t="s">
        <v>4317</v>
      </c>
      <c r="J1324" s="4" t="s">
        <v>31</v>
      </c>
      <c r="K1324" s="5" t="s">
        <v>31</v>
      </c>
      <c r="L1324" s="6" t="str">
        <f t="shared" si="297"/>
        <v>Oth</v>
      </c>
      <c r="M1324" s="13" t="s">
        <v>4316</v>
      </c>
      <c r="N1324" s="7" t="s">
        <v>4319</v>
      </c>
      <c r="O1324" s="13" t="s">
        <v>4316</v>
      </c>
      <c r="P1324" s="115" t="s">
        <v>4318</v>
      </c>
      <c r="Q1324" s="8"/>
      <c r="R1324" s="2">
        <v>1</v>
      </c>
      <c r="S1324" s="9">
        <v>0</v>
      </c>
      <c r="T1324" s="10">
        <f t="shared" si="307"/>
        <v>0</v>
      </c>
      <c r="U1324" s="9">
        <v>0</v>
      </c>
      <c r="V1324" s="10">
        <f t="shared" si="308"/>
        <v>0</v>
      </c>
      <c r="W1324" s="4" t="s">
        <v>4320</v>
      </c>
      <c r="X1324" s="2"/>
      <c r="Y1324" s="11">
        <v>8</v>
      </c>
      <c r="Z1324" s="12">
        <f t="shared" si="298"/>
        <v>0</v>
      </c>
      <c r="AA1324" s="4" t="s">
        <v>4321</v>
      </c>
      <c r="AC1324" s="176">
        <f t="shared" si="296"/>
        <v>0</v>
      </c>
    </row>
    <row r="1325" spans="2:29">
      <c r="B1325" s="183">
        <f t="shared" si="299"/>
        <v>37</v>
      </c>
      <c r="C1325" s="107" t="str">
        <f t="shared" si="300"/>
        <v>ATK</v>
      </c>
      <c r="D1325" s="2" t="s">
        <v>323</v>
      </c>
      <c r="E1325" s="3">
        <v>44081</v>
      </c>
      <c r="F1325" s="3">
        <v>44081</v>
      </c>
      <c r="G1325" s="108">
        <f t="shared" si="301"/>
        <v>9</v>
      </c>
      <c r="H1325" s="108" t="str">
        <f t="shared" si="302"/>
        <v>Other</v>
      </c>
      <c r="I1325" s="112" t="s">
        <v>31</v>
      </c>
      <c r="J1325" s="4" t="s">
        <v>31</v>
      </c>
      <c r="K1325" s="5" t="s">
        <v>31</v>
      </c>
      <c r="L1325" s="6" t="str">
        <f t="shared" si="297"/>
        <v>Oth</v>
      </c>
      <c r="M1325" s="13" t="s">
        <v>323</v>
      </c>
      <c r="N1325" s="7" t="s">
        <v>4319</v>
      </c>
      <c r="O1325" s="13" t="s">
        <v>323</v>
      </c>
      <c r="P1325" s="115" t="s">
        <v>4318</v>
      </c>
      <c r="Q1325" s="8"/>
      <c r="R1325" s="2">
        <v>1</v>
      </c>
      <c r="S1325" s="9">
        <v>0</v>
      </c>
      <c r="T1325" s="10">
        <f t="shared" ref="T1325" si="309">(S1325*50)/100*R1325</f>
        <v>0</v>
      </c>
      <c r="U1325" s="9">
        <v>0</v>
      </c>
      <c r="V1325" s="10">
        <f t="shared" ref="V1325" si="310">T1325-U1325</f>
        <v>0</v>
      </c>
      <c r="W1325" s="4" t="s">
        <v>249</v>
      </c>
      <c r="X1325" s="2"/>
      <c r="Y1325" s="11">
        <v>8</v>
      </c>
      <c r="Z1325" s="12">
        <f t="shared" si="298"/>
        <v>0</v>
      </c>
      <c r="AA1325" s="4" t="s">
        <v>40</v>
      </c>
      <c r="AC1325" s="176">
        <f t="shared" si="296"/>
        <v>0</v>
      </c>
    </row>
    <row r="1326" spans="2:29" ht="24">
      <c r="B1326" s="183">
        <f t="shared" si="299"/>
        <v>37</v>
      </c>
      <c r="C1326" s="107" t="str">
        <f t="shared" si="300"/>
        <v>ATK</v>
      </c>
      <c r="D1326" s="2" t="s">
        <v>4325</v>
      </c>
      <c r="E1326" s="3">
        <v>44081</v>
      </c>
      <c r="F1326" s="3">
        <v>44082</v>
      </c>
      <c r="G1326" s="108">
        <f t="shared" si="301"/>
        <v>9</v>
      </c>
      <c r="H1326" s="108" t="str">
        <f t="shared" si="302"/>
        <v>완료</v>
      </c>
      <c r="I1326" s="112" t="s">
        <v>218</v>
      </c>
      <c r="J1326" s="4" t="s">
        <v>115</v>
      </c>
      <c r="K1326" s="5" t="s">
        <v>138</v>
      </c>
      <c r="L1326" s="6" t="str">
        <f t="shared" si="297"/>
        <v>EE1</v>
      </c>
      <c r="M1326" s="13" t="s">
        <v>4322</v>
      </c>
      <c r="N1326" s="7" t="s">
        <v>4323</v>
      </c>
      <c r="O1326" s="13" t="s">
        <v>4324</v>
      </c>
      <c r="P1326" s="115" t="s">
        <v>4329</v>
      </c>
      <c r="Q1326" s="8"/>
      <c r="R1326" s="2">
        <v>1</v>
      </c>
      <c r="S1326" s="9">
        <v>3500</v>
      </c>
      <c r="T1326" s="10">
        <f t="shared" si="307"/>
        <v>1750</v>
      </c>
      <c r="U1326" s="9">
        <v>50</v>
      </c>
      <c r="V1326" s="10">
        <f t="shared" si="308"/>
        <v>1700</v>
      </c>
      <c r="W1326" s="4" t="s">
        <v>122</v>
      </c>
      <c r="X1326" s="2"/>
      <c r="Y1326" s="11">
        <v>6</v>
      </c>
      <c r="Z1326" s="12">
        <f t="shared" si="298"/>
        <v>1</v>
      </c>
      <c r="AA1326" s="4" t="s">
        <v>212</v>
      </c>
      <c r="AC1326" s="176">
        <f t="shared" si="296"/>
        <v>4.5454545454545456E-2</v>
      </c>
    </row>
    <row r="1327" spans="2:29">
      <c r="B1327" s="183">
        <f t="shared" si="299"/>
        <v>37</v>
      </c>
      <c r="C1327" s="107" t="str">
        <f t="shared" si="300"/>
        <v>ATK</v>
      </c>
      <c r="D1327" s="2" t="s">
        <v>4328</v>
      </c>
      <c r="E1327" s="3">
        <v>44081</v>
      </c>
      <c r="F1327" s="3">
        <v>44082</v>
      </c>
      <c r="G1327" s="108">
        <f t="shared" si="301"/>
        <v>9</v>
      </c>
      <c r="H1327" s="108" t="str">
        <f t="shared" si="302"/>
        <v>완료</v>
      </c>
      <c r="I1327" s="112" t="s">
        <v>218</v>
      </c>
      <c r="J1327" s="4" t="s">
        <v>251</v>
      </c>
      <c r="K1327" s="5" t="s">
        <v>119</v>
      </c>
      <c r="L1327" s="6" t="str">
        <f t="shared" si="297"/>
        <v>2T3</v>
      </c>
      <c r="M1327" s="13" t="s">
        <v>4327</v>
      </c>
      <c r="N1327" s="7" t="s">
        <v>4326</v>
      </c>
      <c r="O1327" s="13" t="s">
        <v>3224</v>
      </c>
      <c r="P1327" s="115" t="s">
        <v>4175</v>
      </c>
      <c r="Q1327" s="8"/>
      <c r="R1327" s="2">
        <v>1</v>
      </c>
      <c r="S1327" s="9">
        <v>200</v>
      </c>
      <c r="T1327" s="10">
        <f t="shared" si="307"/>
        <v>100</v>
      </c>
      <c r="U1327" s="9">
        <v>30</v>
      </c>
      <c r="V1327" s="10">
        <f t="shared" si="308"/>
        <v>70</v>
      </c>
      <c r="W1327" s="4" t="s">
        <v>122</v>
      </c>
      <c r="X1327" s="2"/>
      <c r="Y1327" s="11">
        <v>3</v>
      </c>
      <c r="Z1327" s="12">
        <f t="shared" si="298"/>
        <v>1</v>
      </c>
      <c r="AA1327" s="4" t="s">
        <v>212</v>
      </c>
      <c r="AC1327" s="176">
        <f t="shared" si="296"/>
        <v>2.7272727272727271E-2</v>
      </c>
    </row>
    <row r="1328" spans="2:29">
      <c r="B1328" s="183">
        <f t="shared" si="299"/>
        <v>48</v>
      </c>
      <c r="C1328" s="107" t="str">
        <f t="shared" si="300"/>
        <v>ATK</v>
      </c>
      <c r="D1328" s="2" t="s">
        <v>2519</v>
      </c>
      <c r="E1328" s="3">
        <v>44082</v>
      </c>
      <c r="F1328" s="3">
        <v>44159</v>
      </c>
      <c r="G1328" s="108">
        <f t="shared" si="301"/>
        <v>11</v>
      </c>
      <c r="H1328" s="108" t="str">
        <f t="shared" si="302"/>
        <v>완료</v>
      </c>
      <c r="I1328" s="112" t="s">
        <v>218</v>
      </c>
      <c r="J1328" s="4" t="s">
        <v>139</v>
      </c>
      <c r="K1328" s="5" t="s">
        <v>466</v>
      </c>
      <c r="L1328" s="6" t="str">
        <f t="shared" si="297"/>
        <v>6T2</v>
      </c>
      <c r="M1328" s="13" t="s">
        <v>4330</v>
      </c>
      <c r="N1328" s="7" t="s">
        <v>5260</v>
      </c>
      <c r="O1328" s="13" t="s">
        <v>4300</v>
      </c>
      <c r="P1328" s="115" t="s">
        <v>4331</v>
      </c>
      <c r="Q1328" s="8"/>
      <c r="R1328" s="2">
        <v>1</v>
      </c>
      <c r="S1328" s="9">
        <v>5000</v>
      </c>
      <c r="T1328" s="10">
        <f t="shared" si="307"/>
        <v>2500</v>
      </c>
      <c r="U1328" s="9">
        <v>25</v>
      </c>
      <c r="V1328" s="10">
        <f t="shared" si="308"/>
        <v>2475</v>
      </c>
      <c r="W1328" s="4" t="s">
        <v>122</v>
      </c>
      <c r="X1328" s="2"/>
      <c r="Y1328" s="11">
        <v>8</v>
      </c>
      <c r="Z1328" s="12">
        <f t="shared" si="298"/>
        <v>77</v>
      </c>
      <c r="AA1328" s="4" t="s">
        <v>5259</v>
      </c>
      <c r="AC1328" s="176">
        <f t="shared" si="296"/>
        <v>2.2727272727272728E-2</v>
      </c>
    </row>
    <row r="1329" spans="2:29">
      <c r="B1329" s="183">
        <f t="shared" si="299"/>
        <v>37</v>
      </c>
      <c r="C1329" s="107" t="str">
        <f t="shared" si="300"/>
        <v>ATK</v>
      </c>
      <c r="D1329" s="2" t="s">
        <v>4332</v>
      </c>
      <c r="E1329" s="3">
        <v>44082</v>
      </c>
      <c r="F1329" s="3">
        <v>44082</v>
      </c>
      <c r="G1329" s="108">
        <f t="shared" si="301"/>
        <v>9</v>
      </c>
      <c r="H1329" s="108" t="str">
        <f t="shared" si="302"/>
        <v>완료</v>
      </c>
      <c r="I1329" s="112" t="s">
        <v>218</v>
      </c>
      <c r="J1329" s="4" t="s">
        <v>4333</v>
      </c>
      <c r="K1329" s="5" t="s">
        <v>4334</v>
      </c>
      <c r="L1329" s="6" t="str">
        <f t="shared" si="297"/>
        <v>EE2</v>
      </c>
      <c r="M1329" s="13" t="s">
        <v>4335</v>
      </c>
      <c r="N1329" s="7" t="s">
        <v>4336</v>
      </c>
      <c r="O1329" s="13" t="s">
        <v>4337</v>
      </c>
      <c r="P1329" s="115" t="s">
        <v>4338</v>
      </c>
      <c r="Q1329" s="8"/>
      <c r="R1329" s="2">
        <v>2</v>
      </c>
      <c r="S1329" s="9">
        <v>200</v>
      </c>
      <c r="T1329" s="10">
        <f t="shared" si="307"/>
        <v>200</v>
      </c>
      <c r="U1329" s="9">
        <v>1</v>
      </c>
      <c r="V1329" s="10">
        <f t="shared" si="308"/>
        <v>199</v>
      </c>
      <c r="W1329" s="4" t="s">
        <v>122</v>
      </c>
      <c r="X1329" s="2"/>
      <c r="Y1329" s="11">
        <v>1</v>
      </c>
      <c r="Z1329" s="12">
        <f t="shared" si="298"/>
        <v>0</v>
      </c>
      <c r="AA1329" s="4" t="s">
        <v>4339</v>
      </c>
      <c r="AC1329" s="176">
        <f t="shared" si="296"/>
        <v>9.0909090909090909E-4</v>
      </c>
    </row>
    <row r="1330" spans="2:29">
      <c r="B1330" s="183">
        <f t="shared" si="299"/>
        <v>37</v>
      </c>
      <c r="C1330" s="107" t="str">
        <f t="shared" si="300"/>
        <v>ATK</v>
      </c>
      <c r="D1330" s="2" t="s">
        <v>4340</v>
      </c>
      <c r="E1330" s="3">
        <v>44081</v>
      </c>
      <c r="F1330" s="3">
        <v>44082</v>
      </c>
      <c r="G1330" s="108">
        <f t="shared" si="301"/>
        <v>9</v>
      </c>
      <c r="H1330" s="108" t="str">
        <f t="shared" si="302"/>
        <v>완료</v>
      </c>
      <c r="I1330" s="112" t="s">
        <v>218</v>
      </c>
      <c r="J1330" s="4" t="s">
        <v>132</v>
      </c>
      <c r="K1330" s="5" t="s">
        <v>322</v>
      </c>
      <c r="L1330" s="6" t="str">
        <f t="shared" si="297"/>
        <v>3T1</v>
      </c>
      <c r="M1330" s="13" t="s">
        <v>242</v>
      </c>
      <c r="N1330" s="7" t="s">
        <v>3530</v>
      </c>
      <c r="O1330" s="13" t="s">
        <v>461</v>
      </c>
      <c r="P1330" s="115"/>
      <c r="Q1330" s="8"/>
      <c r="R1330" s="2">
        <v>1</v>
      </c>
      <c r="S1330" s="9">
        <v>1000</v>
      </c>
      <c r="T1330" s="10">
        <f t="shared" si="307"/>
        <v>500</v>
      </c>
      <c r="U1330" s="9">
        <v>10</v>
      </c>
      <c r="V1330" s="10">
        <f t="shared" si="308"/>
        <v>490</v>
      </c>
      <c r="W1330" s="4" t="s">
        <v>122</v>
      </c>
      <c r="X1330" s="2"/>
      <c r="Y1330" s="11">
        <v>3</v>
      </c>
      <c r="Z1330" s="12">
        <f t="shared" si="298"/>
        <v>1</v>
      </c>
      <c r="AA1330" s="4" t="s">
        <v>4339</v>
      </c>
      <c r="AC1330" s="176">
        <f t="shared" ref="AC1330:AC1393" si="311">U1330/1100</f>
        <v>9.0909090909090905E-3</v>
      </c>
    </row>
    <row r="1331" spans="2:29">
      <c r="B1331" s="183">
        <f t="shared" si="299"/>
        <v>37</v>
      </c>
      <c r="C1331" s="107" t="str">
        <f t="shared" si="300"/>
        <v>ATK</v>
      </c>
      <c r="D1331" s="2" t="s">
        <v>281</v>
      </c>
      <c r="E1331" s="3">
        <v>44075</v>
      </c>
      <c r="F1331" s="3">
        <v>44082</v>
      </c>
      <c r="G1331" s="108">
        <f t="shared" si="301"/>
        <v>9</v>
      </c>
      <c r="H1331" s="108" t="str">
        <f t="shared" si="302"/>
        <v>완료</v>
      </c>
      <c r="I1331" s="112" t="s">
        <v>218</v>
      </c>
      <c r="J1331" s="4" t="s">
        <v>115</v>
      </c>
      <c r="K1331" s="5" t="s">
        <v>138</v>
      </c>
      <c r="L1331" s="6" t="str">
        <f t="shared" si="297"/>
        <v>EE1</v>
      </c>
      <c r="M1331" s="13"/>
      <c r="N1331" s="7" t="s">
        <v>4341</v>
      </c>
      <c r="O1331" s="13" t="s">
        <v>1015</v>
      </c>
      <c r="P1331" s="115" t="s">
        <v>4343</v>
      </c>
      <c r="Q1331" s="8" t="s">
        <v>4345</v>
      </c>
      <c r="R1331" s="2">
        <v>1</v>
      </c>
      <c r="S1331" s="9">
        <v>550</v>
      </c>
      <c r="T1331" s="10">
        <f t="shared" si="307"/>
        <v>275</v>
      </c>
      <c r="U1331" s="9">
        <v>0</v>
      </c>
      <c r="V1331" s="10">
        <f t="shared" si="308"/>
        <v>275</v>
      </c>
      <c r="W1331" s="4" t="s">
        <v>122</v>
      </c>
      <c r="X1331" s="2"/>
      <c r="Y1331" s="11">
        <v>3</v>
      </c>
      <c r="Z1331" s="12">
        <f t="shared" si="298"/>
        <v>7</v>
      </c>
      <c r="AA1331" s="4" t="s">
        <v>120</v>
      </c>
      <c r="AC1331" s="176">
        <f t="shared" si="311"/>
        <v>0</v>
      </c>
    </row>
    <row r="1332" spans="2:29">
      <c r="B1332" s="183">
        <f t="shared" si="299"/>
        <v>37</v>
      </c>
      <c r="C1332" s="107" t="str">
        <f t="shared" si="300"/>
        <v>ATK</v>
      </c>
      <c r="D1332" s="2" t="s">
        <v>281</v>
      </c>
      <c r="E1332" s="3">
        <v>44075</v>
      </c>
      <c r="F1332" s="3">
        <v>44082</v>
      </c>
      <c r="G1332" s="108">
        <f t="shared" si="301"/>
        <v>9</v>
      </c>
      <c r="H1332" s="108" t="str">
        <f t="shared" si="302"/>
        <v>완료</v>
      </c>
      <c r="I1332" s="112" t="s">
        <v>218</v>
      </c>
      <c r="J1332" s="4" t="s">
        <v>115</v>
      </c>
      <c r="K1332" s="5" t="s">
        <v>138</v>
      </c>
      <c r="L1332" s="6" t="str">
        <f t="shared" si="297"/>
        <v>EE1</v>
      </c>
      <c r="M1332" s="13"/>
      <c r="N1332" s="7" t="s">
        <v>4342</v>
      </c>
      <c r="O1332" s="13" t="s">
        <v>1015</v>
      </c>
      <c r="P1332" s="115" t="s">
        <v>4343</v>
      </c>
      <c r="Q1332" s="8" t="s">
        <v>4344</v>
      </c>
      <c r="R1332" s="2">
        <v>1</v>
      </c>
      <c r="S1332" s="9">
        <v>720</v>
      </c>
      <c r="T1332" s="10">
        <f t="shared" si="307"/>
        <v>360</v>
      </c>
      <c r="U1332" s="9">
        <v>0</v>
      </c>
      <c r="V1332" s="10">
        <f t="shared" si="308"/>
        <v>360</v>
      </c>
      <c r="W1332" s="4" t="s">
        <v>122</v>
      </c>
      <c r="X1332" s="2"/>
      <c r="Y1332" s="11">
        <v>3</v>
      </c>
      <c r="Z1332" s="12">
        <f t="shared" si="298"/>
        <v>7</v>
      </c>
      <c r="AA1332" s="4" t="s">
        <v>120</v>
      </c>
      <c r="AC1332" s="176">
        <f t="shared" si="311"/>
        <v>0</v>
      </c>
    </row>
    <row r="1333" spans="2:29">
      <c r="B1333" s="183">
        <f t="shared" si="299"/>
        <v>37</v>
      </c>
      <c r="C1333" s="107" t="str">
        <f t="shared" si="300"/>
        <v>ATK</v>
      </c>
      <c r="D1333" s="2" t="s">
        <v>4346</v>
      </c>
      <c r="E1333" s="3">
        <v>44083</v>
      </c>
      <c r="F1333" s="3">
        <v>44083</v>
      </c>
      <c r="G1333" s="108">
        <f t="shared" si="301"/>
        <v>9</v>
      </c>
      <c r="H1333" s="108" t="str">
        <f t="shared" si="302"/>
        <v>완료</v>
      </c>
      <c r="I1333" s="112" t="s">
        <v>4347</v>
      </c>
      <c r="J1333" s="4" t="s">
        <v>4348</v>
      </c>
      <c r="K1333" s="5" t="s">
        <v>4349</v>
      </c>
      <c r="L1333" s="6" t="str">
        <f t="shared" si="297"/>
        <v>EE1</v>
      </c>
      <c r="M1333" s="13" t="s">
        <v>4350</v>
      </c>
      <c r="N1333" s="7" t="s">
        <v>4352</v>
      </c>
      <c r="O1333" s="13" t="s">
        <v>4351</v>
      </c>
      <c r="P1333" s="115" t="s">
        <v>4353</v>
      </c>
      <c r="Q1333" s="8"/>
      <c r="R1333" s="2">
        <v>1</v>
      </c>
      <c r="S1333" s="9">
        <v>900</v>
      </c>
      <c r="T1333" s="10">
        <f t="shared" si="307"/>
        <v>450</v>
      </c>
      <c r="U1333" s="9">
        <v>200</v>
      </c>
      <c r="V1333" s="10">
        <f t="shared" si="308"/>
        <v>250</v>
      </c>
      <c r="W1333" s="4" t="s">
        <v>4354</v>
      </c>
      <c r="X1333" s="2"/>
      <c r="Y1333" s="11">
        <v>2</v>
      </c>
      <c r="Z1333" s="12">
        <f t="shared" si="298"/>
        <v>0</v>
      </c>
      <c r="AA1333" s="4" t="s">
        <v>4355</v>
      </c>
      <c r="AC1333" s="176">
        <f t="shared" si="311"/>
        <v>0.18181818181818182</v>
      </c>
    </row>
    <row r="1334" spans="2:29">
      <c r="B1334" s="183">
        <f t="shared" si="299"/>
        <v>37</v>
      </c>
      <c r="C1334" s="107" t="str">
        <f t="shared" si="300"/>
        <v>ATK</v>
      </c>
      <c r="D1334" s="2" t="s">
        <v>1655</v>
      </c>
      <c r="E1334" s="3">
        <v>44083</v>
      </c>
      <c r="F1334" s="3">
        <v>44083</v>
      </c>
      <c r="G1334" s="108">
        <f t="shared" si="301"/>
        <v>9</v>
      </c>
      <c r="H1334" s="108" t="str">
        <f t="shared" si="302"/>
        <v>완료</v>
      </c>
      <c r="I1334" s="112" t="s">
        <v>218</v>
      </c>
      <c r="J1334" s="4" t="s">
        <v>243</v>
      </c>
      <c r="K1334" s="5" t="s">
        <v>243</v>
      </c>
      <c r="L1334" s="6" t="str">
        <f t="shared" si="297"/>
        <v>K5</v>
      </c>
      <c r="M1334" s="13" t="s">
        <v>1784</v>
      </c>
      <c r="N1334" s="7" t="s">
        <v>4356</v>
      </c>
      <c r="O1334" s="13" t="s">
        <v>4357</v>
      </c>
      <c r="P1334" s="115" t="s">
        <v>4358</v>
      </c>
      <c r="Q1334" s="8"/>
      <c r="R1334" s="2">
        <v>1</v>
      </c>
      <c r="S1334" s="9">
        <v>10</v>
      </c>
      <c r="T1334" s="10">
        <f t="shared" si="307"/>
        <v>5</v>
      </c>
      <c r="U1334" s="9">
        <v>0</v>
      </c>
      <c r="V1334" s="10">
        <f t="shared" si="308"/>
        <v>5</v>
      </c>
      <c r="W1334" s="4" t="s">
        <v>122</v>
      </c>
      <c r="X1334" s="2"/>
      <c r="Y1334" s="11">
        <v>2</v>
      </c>
      <c r="Z1334" s="12">
        <f t="shared" si="298"/>
        <v>0</v>
      </c>
      <c r="AA1334" s="4" t="s">
        <v>120</v>
      </c>
      <c r="AC1334" s="176">
        <f t="shared" si="311"/>
        <v>0</v>
      </c>
    </row>
    <row r="1335" spans="2:29">
      <c r="B1335" s="183">
        <f t="shared" si="299"/>
        <v>37</v>
      </c>
      <c r="C1335" s="107" t="str">
        <f t="shared" si="300"/>
        <v>ATK</v>
      </c>
      <c r="D1335" s="2" t="s">
        <v>4359</v>
      </c>
      <c r="E1335" s="3">
        <v>44083</v>
      </c>
      <c r="F1335" s="3">
        <v>44083</v>
      </c>
      <c r="G1335" s="108">
        <f t="shared" si="301"/>
        <v>9</v>
      </c>
      <c r="H1335" s="108" t="str">
        <f t="shared" si="302"/>
        <v>Other</v>
      </c>
      <c r="I1335" s="112" t="s">
        <v>31</v>
      </c>
      <c r="J1335" s="4" t="s">
        <v>31</v>
      </c>
      <c r="K1335" s="5" t="s">
        <v>31</v>
      </c>
      <c r="L1335" s="6" t="str">
        <f t="shared" si="297"/>
        <v>Oth</v>
      </c>
      <c r="M1335" s="13" t="s">
        <v>323</v>
      </c>
      <c r="N1335" s="7" t="s">
        <v>4319</v>
      </c>
      <c r="O1335" s="13" t="s">
        <v>323</v>
      </c>
      <c r="P1335" s="115" t="s">
        <v>4318</v>
      </c>
      <c r="Q1335" s="8"/>
      <c r="R1335" s="2">
        <v>1</v>
      </c>
      <c r="S1335" s="9">
        <v>0</v>
      </c>
      <c r="T1335" s="10">
        <f t="shared" ref="T1335:T1336" si="312">(S1335*50)/100*R1335</f>
        <v>0</v>
      </c>
      <c r="U1335" s="9">
        <v>0</v>
      </c>
      <c r="V1335" s="10">
        <f t="shared" ref="V1335:V1336" si="313">T1335-U1335</f>
        <v>0</v>
      </c>
      <c r="W1335" s="4" t="s">
        <v>249</v>
      </c>
      <c r="X1335" s="2"/>
      <c r="Y1335" s="11">
        <v>8</v>
      </c>
      <c r="Z1335" s="12">
        <f t="shared" si="298"/>
        <v>0</v>
      </c>
      <c r="AA1335" s="4" t="s">
        <v>27</v>
      </c>
      <c r="AC1335" s="176">
        <f t="shared" si="311"/>
        <v>0</v>
      </c>
    </row>
    <row r="1336" spans="2:29">
      <c r="B1336" s="183">
        <f t="shared" si="299"/>
        <v>37</v>
      </c>
      <c r="C1336" s="107" t="str">
        <f t="shared" si="300"/>
        <v>ATK</v>
      </c>
      <c r="D1336" s="2" t="s">
        <v>4359</v>
      </c>
      <c r="E1336" s="3">
        <v>44084</v>
      </c>
      <c r="F1336" s="3">
        <v>44084</v>
      </c>
      <c r="G1336" s="108">
        <f t="shared" si="301"/>
        <v>9</v>
      </c>
      <c r="H1336" s="108" t="str">
        <f t="shared" si="302"/>
        <v>Other</v>
      </c>
      <c r="I1336" s="112" t="s">
        <v>31</v>
      </c>
      <c r="J1336" s="4" t="s">
        <v>31</v>
      </c>
      <c r="K1336" s="5" t="s">
        <v>31</v>
      </c>
      <c r="L1336" s="6" t="str">
        <f t="shared" si="297"/>
        <v>Oth</v>
      </c>
      <c r="M1336" s="13" t="s">
        <v>323</v>
      </c>
      <c r="N1336" s="7" t="s">
        <v>4319</v>
      </c>
      <c r="O1336" s="13" t="s">
        <v>323</v>
      </c>
      <c r="P1336" s="115" t="s">
        <v>4318</v>
      </c>
      <c r="Q1336" s="8"/>
      <c r="R1336" s="2">
        <v>1</v>
      </c>
      <c r="S1336" s="9">
        <v>0</v>
      </c>
      <c r="T1336" s="10">
        <f t="shared" si="312"/>
        <v>0</v>
      </c>
      <c r="U1336" s="9">
        <v>0</v>
      </c>
      <c r="V1336" s="10">
        <f t="shared" si="313"/>
        <v>0</v>
      </c>
      <c r="W1336" s="4" t="s">
        <v>249</v>
      </c>
      <c r="X1336" s="2"/>
      <c r="Y1336" s="11">
        <v>8</v>
      </c>
      <c r="Z1336" s="12">
        <f t="shared" si="298"/>
        <v>0</v>
      </c>
      <c r="AA1336" s="4" t="s">
        <v>27</v>
      </c>
      <c r="AC1336" s="176">
        <f t="shared" si="311"/>
        <v>0</v>
      </c>
    </row>
    <row r="1337" spans="2:29">
      <c r="B1337" s="183">
        <f t="shared" si="299"/>
        <v>37</v>
      </c>
      <c r="C1337" s="107" t="str">
        <f t="shared" si="300"/>
        <v>ATK</v>
      </c>
      <c r="D1337" s="2" t="s">
        <v>4359</v>
      </c>
      <c r="E1337" s="3">
        <v>44083</v>
      </c>
      <c r="F1337" s="3">
        <v>44083</v>
      </c>
      <c r="G1337" s="108">
        <f t="shared" si="301"/>
        <v>9</v>
      </c>
      <c r="H1337" s="108" t="str">
        <f t="shared" si="302"/>
        <v>Other</v>
      </c>
      <c r="I1337" s="112" t="s">
        <v>31</v>
      </c>
      <c r="J1337" s="4" t="s">
        <v>31</v>
      </c>
      <c r="K1337" s="5" t="s">
        <v>31</v>
      </c>
      <c r="L1337" s="6" t="str">
        <f t="shared" si="297"/>
        <v>Oth</v>
      </c>
      <c r="M1337" s="13" t="s">
        <v>323</v>
      </c>
      <c r="N1337" s="7" t="s">
        <v>4319</v>
      </c>
      <c r="O1337" s="13" t="s">
        <v>323</v>
      </c>
      <c r="P1337" s="115" t="s">
        <v>4318</v>
      </c>
      <c r="Q1337" s="8"/>
      <c r="R1337" s="2">
        <v>1</v>
      </c>
      <c r="S1337" s="9">
        <v>0</v>
      </c>
      <c r="T1337" s="10">
        <f t="shared" ref="T1337:T1338" si="314">(S1337*50)/100*R1337</f>
        <v>0</v>
      </c>
      <c r="U1337" s="9">
        <v>0</v>
      </c>
      <c r="V1337" s="10">
        <f t="shared" ref="V1337:V1338" si="315">T1337-U1337</f>
        <v>0</v>
      </c>
      <c r="W1337" s="4" t="s">
        <v>249</v>
      </c>
      <c r="X1337" s="2"/>
      <c r="Y1337" s="11">
        <v>8</v>
      </c>
      <c r="Z1337" s="12">
        <f t="shared" si="298"/>
        <v>0</v>
      </c>
      <c r="AA1337" s="4" t="s">
        <v>40</v>
      </c>
      <c r="AC1337" s="176">
        <f t="shared" si="311"/>
        <v>0</v>
      </c>
    </row>
    <row r="1338" spans="2:29">
      <c r="B1338" s="183">
        <f t="shared" si="299"/>
        <v>37</v>
      </c>
      <c r="C1338" s="107" t="str">
        <f t="shared" si="300"/>
        <v>ATK</v>
      </c>
      <c r="D1338" s="2" t="s">
        <v>4359</v>
      </c>
      <c r="E1338" s="3">
        <v>44084</v>
      </c>
      <c r="F1338" s="3">
        <v>44084</v>
      </c>
      <c r="G1338" s="108">
        <f t="shared" si="301"/>
        <v>9</v>
      </c>
      <c r="H1338" s="108" t="str">
        <f t="shared" si="302"/>
        <v>Other</v>
      </c>
      <c r="I1338" s="112" t="s">
        <v>31</v>
      </c>
      <c r="J1338" s="4" t="s">
        <v>31</v>
      </c>
      <c r="K1338" s="5" t="s">
        <v>31</v>
      </c>
      <c r="L1338" s="6" t="str">
        <f t="shared" si="297"/>
        <v>Oth</v>
      </c>
      <c r="M1338" s="13" t="s">
        <v>323</v>
      </c>
      <c r="N1338" s="7" t="s">
        <v>4319</v>
      </c>
      <c r="O1338" s="13" t="s">
        <v>323</v>
      </c>
      <c r="P1338" s="115" t="s">
        <v>4318</v>
      </c>
      <c r="Q1338" s="8"/>
      <c r="R1338" s="2">
        <v>1</v>
      </c>
      <c r="S1338" s="9">
        <v>0</v>
      </c>
      <c r="T1338" s="10">
        <f t="shared" si="314"/>
        <v>0</v>
      </c>
      <c r="U1338" s="9">
        <v>0</v>
      </c>
      <c r="V1338" s="10">
        <f t="shared" si="315"/>
        <v>0</v>
      </c>
      <c r="W1338" s="4" t="s">
        <v>249</v>
      </c>
      <c r="X1338" s="2"/>
      <c r="Y1338" s="11">
        <v>8</v>
      </c>
      <c r="Z1338" s="12">
        <f t="shared" si="298"/>
        <v>0</v>
      </c>
      <c r="AA1338" s="4" t="s">
        <v>40</v>
      </c>
      <c r="AC1338" s="176">
        <f t="shared" si="311"/>
        <v>0</v>
      </c>
    </row>
    <row r="1339" spans="2:29">
      <c r="B1339" s="183">
        <f t="shared" si="299"/>
        <v>37</v>
      </c>
      <c r="C1339" s="107" t="str">
        <f t="shared" si="300"/>
        <v>ATK</v>
      </c>
      <c r="D1339" s="2" t="s">
        <v>4360</v>
      </c>
      <c r="E1339" s="3">
        <v>44084</v>
      </c>
      <c r="F1339" s="3">
        <v>44084</v>
      </c>
      <c r="G1339" s="108">
        <f t="shared" si="301"/>
        <v>9</v>
      </c>
      <c r="H1339" s="108" t="str">
        <f t="shared" si="302"/>
        <v>완료</v>
      </c>
      <c r="I1339" s="112" t="s">
        <v>218</v>
      </c>
      <c r="J1339" s="4" t="s">
        <v>132</v>
      </c>
      <c r="K1339" s="5" t="s">
        <v>1193</v>
      </c>
      <c r="L1339" s="6" t="str">
        <f t="shared" si="297"/>
        <v>3T2</v>
      </c>
      <c r="M1339" s="13" t="s">
        <v>4361</v>
      </c>
      <c r="N1339" s="7" t="s">
        <v>4362</v>
      </c>
      <c r="O1339" s="13" t="s">
        <v>4363</v>
      </c>
      <c r="P1339" s="115"/>
      <c r="Q1339" s="8"/>
      <c r="R1339" s="2">
        <v>1</v>
      </c>
      <c r="S1339" s="9">
        <v>800</v>
      </c>
      <c r="T1339" s="10">
        <f t="shared" si="307"/>
        <v>400</v>
      </c>
      <c r="U1339" s="9">
        <v>20</v>
      </c>
      <c r="V1339" s="10">
        <f t="shared" si="308"/>
        <v>380</v>
      </c>
      <c r="W1339" s="4" t="s">
        <v>122</v>
      </c>
      <c r="X1339" s="2"/>
      <c r="Y1339" s="11">
        <v>2</v>
      </c>
      <c r="Z1339" s="12">
        <f t="shared" si="298"/>
        <v>0</v>
      </c>
      <c r="AA1339" s="4" t="s">
        <v>117</v>
      </c>
      <c r="AC1339" s="176">
        <f t="shared" si="311"/>
        <v>1.8181818181818181E-2</v>
      </c>
    </row>
    <row r="1340" spans="2:29">
      <c r="B1340" s="183">
        <f t="shared" si="299"/>
        <v>37</v>
      </c>
      <c r="C1340" s="107" t="str">
        <f t="shared" si="300"/>
        <v>ATK</v>
      </c>
      <c r="D1340" s="2" t="s">
        <v>5410</v>
      </c>
      <c r="E1340" s="3">
        <v>44082</v>
      </c>
      <c r="F1340" s="3">
        <v>44084</v>
      </c>
      <c r="G1340" s="108">
        <f t="shared" si="301"/>
        <v>9</v>
      </c>
      <c r="H1340" s="108" t="str">
        <f t="shared" si="302"/>
        <v>완료</v>
      </c>
      <c r="I1340" s="112" t="s">
        <v>218</v>
      </c>
      <c r="J1340" s="4" t="s">
        <v>265</v>
      </c>
      <c r="K1340" s="5" t="s">
        <v>793</v>
      </c>
      <c r="L1340" s="6" t="str">
        <f t="shared" si="297"/>
        <v>3T3</v>
      </c>
      <c r="M1340" s="13" t="s">
        <v>4366</v>
      </c>
      <c r="N1340" s="7" t="s">
        <v>4367</v>
      </c>
      <c r="O1340" s="13" t="s">
        <v>4366</v>
      </c>
      <c r="P1340" s="115" t="s">
        <v>4368</v>
      </c>
      <c r="Q1340" s="8"/>
      <c r="R1340" s="2">
        <v>1</v>
      </c>
      <c r="S1340" s="9">
        <v>1200</v>
      </c>
      <c r="T1340" s="10">
        <f t="shared" si="307"/>
        <v>600</v>
      </c>
      <c r="U1340" s="9">
        <v>5</v>
      </c>
      <c r="V1340" s="10">
        <f t="shared" si="308"/>
        <v>595</v>
      </c>
      <c r="W1340" s="4" t="s">
        <v>4364</v>
      </c>
      <c r="X1340" s="2"/>
      <c r="Y1340" s="11">
        <v>3</v>
      </c>
      <c r="Z1340" s="12">
        <f t="shared" si="298"/>
        <v>2</v>
      </c>
      <c r="AA1340" s="4" t="s">
        <v>4365</v>
      </c>
      <c r="AC1340" s="176">
        <f t="shared" si="311"/>
        <v>4.5454545454545452E-3</v>
      </c>
    </row>
    <row r="1341" spans="2:29">
      <c r="B1341" s="183">
        <f t="shared" si="299"/>
        <v>37</v>
      </c>
      <c r="C1341" s="107" t="str">
        <f t="shared" si="300"/>
        <v>ATK</v>
      </c>
      <c r="D1341" s="2" t="s">
        <v>5410</v>
      </c>
      <c r="E1341" s="3">
        <v>44082</v>
      </c>
      <c r="F1341" s="3">
        <v>44084</v>
      </c>
      <c r="G1341" s="108">
        <f t="shared" si="301"/>
        <v>9</v>
      </c>
      <c r="H1341" s="108" t="str">
        <f t="shared" si="302"/>
        <v>완료</v>
      </c>
      <c r="I1341" s="112" t="s">
        <v>218</v>
      </c>
      <c r="J1341" s="4" t="s">
        <v>265</v>
      </c>
      <c r="K1341" s="5" t="s">
        <v>793</v>
      </c>
      <c r="L1341" s="6" t="str">
        <f t="shared" si="297"/>
        <v>3T3</v>
      </c>
      <c r="M1341" s="13" t="s">
        <v>270</v>
      </c>
      <c r="N1341" s="7" t="s">
        <v>4369</v>
      </c>
      <c r="O1341" s="13" t="s">
        <v>270</v>
      </c>
      <c r="P1341" s="115" t="s">
        <v>4370</v>
      </c>
      <c r="Q1341" s="8"/>
      <c r="R1341" s="2">
        <v>1</v>
      </c>
      <c r="S1341" s="9">
        <v>710</v>
      </c>
      <c r="T1341" s="10">
        <f t="shared" si="307"/>
        <v>355</v>
      </c>
      <c r="U1341" s="9">
        <v>25</v>
      </c>
      <c r="V1341" s="10">
        <f t="shared" si="308"/>
        <v>330</v>
      </c>
      <c r="W1341" s="4" t="s">
        <v>4371</v>
      </c>
      <c r="X1341" s="2"/>
      <c r="Y1341" s="11">
        <v>1</v>
      </c>
      <c r="Z1341" s="12">
        <f t="shared" si="298"/>
        <v>2</v>
      </c>
      <c r="AA1341" s="4" t="s">
        <v>4372</v>
      </c>
      <c r="AC1341" s="176">
        <f t="shared" si="311"/>
        <v>2.2727272727272728E-2</v>
      </c>
    </row>
    <row r="1342" spans="2:29">
      <c r="B1342" s="183">
        <f t="shared" si="299"/>
        <v>37</v>
      </c>
      <c r="C1342" s="107" t="str">
        <f t="shared" si="300"/>
        <v>ATK</v>
      </c>
      <c r="D1342" s="2" t="s">
        <v>5410</v>
      </c>
      <c r="E1342" s="3">
        <v>44082</v>
      </c>
      <c r="F1342" s="3">
        <v>44084</v>
      </c>
      <c r="G1342" s="108">
        <f t="shared" si="301"/>
        <v>9</v>
      </c>
      <c r="H1342" s="108" t="str">
        <f t="shared" si="302"/>
        <v>완료</v>
      </c>
      <c r="I1342" s="112" t="s">
        <v>218</v>
      </c>
      <c r="J1342" s="4" t="s">
        <v>265</v>
      </c>
      <c r="K1342" s="5" t="s">
        <v>793</v>
      </c>
      <c r="L1342" s="6" t="str">
        <f t="shared" si="297"/>
        <v>3T3</v>
      </c>
      <c r="M1342" s="13" t="s">
        <v>4373</v>
      </c>
      <c r="N1342" s="7" t="s">
        <v>4374</v>
      </c>
      <c r="O1342" s="13" t="s">
        <v>270</v>
      </c>
      <c r="P1342" s="115" t="s">
        <v>4370</v>
      </c>
      <c r="Q1342" s="8"/>
      <c r="R1342" s="2">
        <v>1</v>
      </c>
      <c r="S1342" s="9">
        <v>1800</v>
      </c>
      <c r="T1342" s="10">
        <f t="shared" si="307"/>
        <v>900</v>
      </c>
      <c r="U1342" s="9">
        <v>0</v>
      </c>
      <c r="V1342" s="10">
        <f t="shared" si="308"/>
        <v>900</v>
      </c>
      <c r="W1342" s="4" t="s">
        <v>4371</v>
      </c>
      <c r="X1342" s="2"/>
      <c r="Y1342" s="11">
        <v>1</v>
      </c>
      <c r="Z1342" s="12">
        <f t="shared" si="298"/>
        <v>2</v>
      </c>
      <c r="AA1342" s="4" t="s">
        <v>4372</v>
      </c>
      <c r="AC1342" s="176">
        <f t="shared" si="311"/>
        <v>0</v>
      </c>
    </row>
    <row r="1343" spans="2:29">
      <c r="B1343" s="183">
        <f t="shared" si="299"/>
        <v>37</v>
      </c>
      <c r="C1343" s="107" t="str">
        <f t="shared" si="300"/>
        <v>ATK</v>
      </c>
      <c r="D1343" s="2" t="s">
        <v>4378</v>
      </c>
      <c r="E1343" s="3">
        <v>44084</v>
      </c>
      <c r="F1343" s="3">
        <v>44084</v>
      </c>
      <c r="G1343" s="108">
        <f t="shared" si="301"/>
        <v>9</v>
      </c>
      <c r="H1343" s="108" t="str">
        <f t="shared" si="302"/>
        <v>완료</v>
      </c>
      <c r="I1343" s="112" t="s">
        <v>4379</v>
      </c>
      <c r="J1343" s="4" t="s">
        <v>4375</v>
      </c>
      <c r="K1343" s="5" t="s">
        <v>4376</v>
      </c>
      <c r="L1343" s="6" t="str">
        <f t="shared" si="297"/>
        <v>2T1</v>
      </c>
      <c r="M1343" s="13" t="s">
        <v>4377</v>
      </c>
      <c r="N1343" s="7" t="s">
        <v>4380</v>
      </c>
      <c r="O1343" s="13" t="s">
        <v>1015</v>
      </c>
      <c r="P1343" s="115" t="s">
        <v>4381</v>
      </c>
      <c r="Q1343" s="8"/>
      <c r="R1343" s="2">
        <v>1</v>
      </c>
      <c r="S1343" s="9">
        <v>3000</v>
      </c>
      <c r="T1343" s="10">
        <f t="shared" si="307"/>
        <v>1500</v>
      </c>
      <c r="U1343" s="9">
        <v>5</v>
      </c>
      <c r="V1343" s="10">
        <f t="shared" si="308"/>
        <v>1495</v>
      </c>
      <c r="W1343" s="4" t="s">
        <v>4382</v>
      </c>
      <c r="X1343" s="2"/>
      <c r="Y1343" s="11">
        <v>2</v>
      </c>
      <c r="Z1343" s="12">
        <f t="shared" si="298"/>
        <v>0</v>
      </c>
      <c r="AA1343" s="4" t="s">
        <v>4383</v>
      </c>
      <c r="AC1343" s="176">
        <f t="shared" si="311"/>
        <v>4.5454545454545452E-3</v>
      </c>
    </row>
    <row r="1344" spans="2:29">
      <c r="B1344" s="183">
        <f t="shared" si="299"/>
        <v>37</v>
      </c>
      <c r="C1344" s="107" t="str">
        <f t="shared" si="300"/>
        <v>ATK</v>
      </c>
      <c r="D1344" s="2" t="s">
        <v>5410</v>
      </c>
      <c r="E1344" s="3">
        <v>44084</v>
      </c>
      <c r="F1344" s="3">
        <v>44085</v>
      </c>
      <c r="G1344" s="108">
        <f t="shared" si="301"/>
        <v>9</v>
      </c>
      <c r="H1344" s="108" t="str">
        <f t="shared" si="302"/>
        <v>완료</v>
      </c>
      <c r="I1344" s="112" t="s">
        <v>218</v>
      </c>
      <c r="J1344" s="4" t="s">
        <v>118</v>
      </c>
      <c r="K1344" s="5" t="s">
        <v>137</v>
      </c>
      <c r="L1344" s="6" t="str">
        <f t="shared" si="297"/>
        <v>2T2</v>
      </c>
      <c r="M1344" s="13" t="s">
        <v>705</v>
      </c>
      <c r="N1344" s="7"/>
      <c r="O1344" s="13" t="s">
        <v>4384</v>
      </c>
      <c r="P1344" s="115"/>
      <c r="Q1344" s="8"/>
      <c r="R1344" s="2">
        <v>2</v>
      </c>
      <c r="S1344" s="9">
        <v>600</v>
      </c>
      <c r="T1344" s="10">
        <f t="shared" si="307"/>
        <v>600</v>
      </c>
      <c r="U1344" s="9">
        <v>5</v>
      </c>
      <c r="V1344" s="10">
        <f t="shared" si="308"/>
        <v>595</v>
      </c>
      <c r="W1344" s="4" t="s">
        <v>122</v>
      </c>
      <c r="X1344" s="2"/>
      <c r="Y1344" s="11">
        <v>1</v>
      </c>
      <c r="Z1344" s="12">
        <f t="shared" si="298"/>
        <v>1</v>
      </c>
      <c r="AA1344" s="4" t="s">
        <v>117</v>
      </c>
      <c r="AC1344" s="176">
        <f t="shared" si="311"/>
        <v>4.5454545454545452E-3</v>
      </c>
    </row>
    <row r="1345" spans="2:29">
      <c r="B1345" s="183">
        <f t="shared" si="299"/>
        <v>37</v>
      </c>
      <c r="C1345" s="107" t="str">
        <f t="shared" si="300"/>
        <v>ATK</v>
      </c>
      <c r="D1345" s="2" t="s">
        <v>5410</v>
      </c>
      <c r="E1345" s="3">
        <v>44084</v>
      </c>
      <c r="F1345" s="3">
        <v>44085</v>
      </c>
      <c r="G1345" s="108">
        <f t="shared" si="301"/>
        <v>9</v>
      </c>
      <c r="H1345" s="108" t="str">
        <f t="shared" si="302"/>
        <v>완료</v>
      </c>
      <c r="I1345" s="112" t="s">
        <v>218</v>
      </c>
      <c r="J1345" s="4" t="s">
        <v>118</v>
      </c>
      <c r="K1345" s="5" t="s">
        <v>137</v>
      </c>
      <c r="L1345" s="6" t="str">
        <f t="shared" ref="L1345:L1408" si="316">LEFT(K1345,3)</f>
        <v>2T2</v>
      </c>
      <c r="M1345" s="13" t="s">
        <v>705</v>
      </c>
      <c r="N1345" s="7"/>
      <c r="O1345" s="13" t="s">
        <v>4385</v>
      </c>
      <c r="P1345" s="115"/>
      <c r="Q1345" s="8"/>
      <c r="R1345" s="2">
        <v>1</v>
      </c>
      <c r="S1345" s="9">
        <v>300</v>
      </c>
      <c r="T1345" s="10">
        <f t="shared" si="307"/>
        <v>150</v>
      </c>
      <c r="U1345" s="9">
        <v>1</v>
      </c>
      <c r="V1345" s="10">
        <f t="shared" si="308"/>
        <v>149</v>
      </c>
      <c r="W1345" s="4" t="s">
        <v>122</v>
      </c>
      <c r="X1345" s="2"/>
      <c r="Y1345" s="11">
        <v>1</v>
      </c>
      <c r="Z1345" s="12">
        <f t="shared" ref="Z1345:Z1408" si="317">F1345-E1345</f>
        <v>1</v>
      </c>
      <c r="AA1345" s="4" t="s">
        <v>117</v>
      </c>
      <c r="AC1345" s="176">
        <f t="shared" si="311"/>
        <v>9.0909090909090909E-4</v>
      </c>
    </row>
    <row r="1346" spans="2:29">
      <c r="B1346" s="183">
        <f t="shared" si="299"/>
        <v>37</v>
      </c>
      <c r="C1346" s="107" t="str">
        <f t="shared" si="300"/>
        <v>ATK</v>
      </c>
      <c r="D1346" s="2" t="s">
        <v>4492</v>
      </c>
      <c r="E1346" s="3">
        <v>44084</v>
      </c>
      <c r="F1346" s="3">
        <v>44085</v>
      </c>
      <c r="G1346" s="108">
        <f t="shared" si="301"/>
        <v>9</v>
      </c>
      <c r="H1346" s="108" t="str">
        <f t="shared" si="302"/>
        <v>완료</v>
      </c>
      <c r="I1346" s="112" t="s">
        <v>218</v>
      </c>
      <c r="J1346" s="4" t="s">
        <v>121</v>
      </c>
      <c r="K1346" s="5" t="s">
        <v>229</v>
      </c>
      <c r="L1346" s="6" t="str">
        <f t="shared" si="316"/>
        <v>5T2</v>
      </c>
      <c r="M1346" s="13" t="s">
        <v>4386</v>
      </c>
      <c r="N1346" s="7" t="s">
        <v>4387</v>
      </c>
      <c r="O1346" s="13" t="s">
        <v>284</v>
      </c>
      <c r="P1346" s="115" t="s">
        <v>4388</v>
      </c>
      <c r="Q1346" s="8"/>
      <c r="R1346" s="2">
        <v>2</v>
      </c>
      <c r="S1346" s="9">
        <v>1200</v>
      </c>
      <c r="T1346" s="10">
        <f t="shared" si="307"/>
        <v>1200</v>
      </c>
      <c r="U1346" s="9">
        <v>50</v>
      </c>
      <c r="V1346" s="10">
        <f t="shared" si="308"/>
        <v>1150</v>
      </c>
      <c r="W1346" s="4" t="s">
        <v>122</v>
      </c>
      <c r="X1346" s="2"/>
      <c r="Y1346" s="11">
        <v>8</v>
      </c>
      <c r="Z1346" s="12">
        <f t="shared" si="317"/>
        <v>1</v>
      </c>
      <c r="AA1346" s="4" t="s">
        <v>212</v>
      </c>
      <c r="AC1346" s="176">
        <f t="shared" si="311"/>
        <v>4.5454545454545456E-2</v>
      </c>
    </row>
    <row r="1347" spans="2:29">
      <c r="B1347" s="183">
        <f t="shared" ref="B1347:B1410" si="318">IF(F1347&gt;0,IFERROR(WEEKNUM(F1347),""),"")</f>
        <v>37</v>
      </c>
      <c r="C1347" s="107" t="str">
        <f t="shared" ref="C1347:C1410" si="319">IF(D1347=0,"",(IF(LEFT(D1347,3)="ATK","ATK",IF(LEFT(D1347,2)="AT",D1347,"ATK"))))</f>
        <v>ATK</v>
      </c>
      <c r="D1347" s="2" t="s">
        <v>5410</v>
      </c>
      <c r="E1347" s="3">
        <v>44084</v>
      </c>
      <c r="F1347" s="3">
        <v>44085</v>
      </c>
      <c r="G1347" s="108">
        <f t="shared" ref="G1347:G1410" si="320">IF(F1347&gt;0,MONTH(F1347),"")</f>
        <v>9</v>
      </c>
      <c r="H1347" s="108" t="str">
        <f t="shared" ref="H1347:H1410" si="321">IF(I1347=0,"",IF(RIGHT(I1347,2)="완료","완료",IF(RIGHT(I1347,2)="불가","수리불가",IF(RIGHT(I1347,1)="중","수리중","Other"))))</f>
        <v>완료</v>
      </c>
      <c r="I1347" s="112" t="s">
        <v>218</v>
      </c>
      <c r="J1347" s="4" t="s">
        <v>118</v>
      </c>
      <c r="K1347" s="5" t="s">
        <v>137</v>
      </c>
      <c r="L1347" s="6" t="str">
        <f t="shared" si="316"/>
        <v>2T2</v>
      </c>
      <c r="M1347" s="13" t="s">
        <v>705</v>
      </c>
      <c r="N1347" s="7"/>
      <c r="O1347" s="13" t="s">
        <v>4192</v>
      </c>
      <c r="P1347" s="115" t="s">
        <v>4389</v>
      </c>
      <c r="Q1347" s="8"/>
      <c r="R1347" s="2">
        <v>1</v>
      </c>
      <c r="S1347" s="9">
        <v>2500</v>
      </c>
      <c r="T1347" s="10">
        <f t="shared" si="307"/>
        <v>1250</v>
      </c>
      <c r="U1347" s="9">
        <v>70</v>
      </c>
      <c r="V1347" s="10">
        <f t="shared" si="308"/>
        <v>1180</v>
      </c>
      <c r="W1347" s="4" t="s">
        <v>122</v>
      </c>
      <c r="X1347" s="2"/>
      <c r="Y1347" s="11">
        <v>2</v>
      </c>
      <c r="Z1347" s="12">
        <f t="shared" si="317"/>
        <v>1</v>
      </c>
      <c r="AA1347" s="4" t="s">
        <v>117</v>
      </c>
      <c r="AC1347" s="176">
        <f t="shared" si="311"/>
        <v>6.363636363636363E-2</v>
      </c>
    </row>
    <row r="1348" spans="2:29">
      <c r="B1348" s="183">
        <f t="shared" si="318"/>
        <v>37</v>
      </c>
      <c r="C1348" s="107" t="str">
        <f t="shared" si="319"/>
        <v>ATK</v>
      </c>
      <c r="D1348" s="2" t="s">
        <v>323</v>
      </c>
      <c r="E1348" s="3">
        <v>44083</v>
      </c>
      <c r="F1348" s="3">
        <v>44083</v>
      </c>
      <c r="G1348" s="108">
        <f t="shared" si="320"/>
        <v>9</v>
      </c>
      <c r="H1348" s="108" t="str">
        <f t="shared" si="321"/>
        <v>Other</v>
      </c>
      <c r="I1348" s="112" t="s">
        <v>31</v>
      </c>
      <c r="J1348" s="4" t="s">
        <v>31</v>
      </c>
      <c r="K1348" s="5" t="s">
        <v>31</v>
      </c>
      <c r="L1348" s="6" t="str">
        <f t="shared" si="316"/>
        <v>Oth</v>
      </c>
      <c r="M1348" s="13" t="s">
        <v>323</v>
      </c>
      <c r="N1348" s="7" t="s">
        <v>4319</v>
      </c>
      <c r="O1348" s="13" t="s">
        <v>323</v>
      </c>
      <c r="P1348" s="115" t="s">
        <v>4318</v>
      </c>
      <c r="Q1348" s="8"/>
      <c r="R1348" s="2">
        <v>1</v>
      </c>
      <c r="S1348" s="9">
        <v>0</v>
      </c>
      <c r="T1348" s="10">
        <f t="shared" si="307"/>
        <v>0</v>
      </c>
      <c r="U1348" s="9">
        <v>0</v>
      </c>
      <c r="V1348" s="10">
        <f t="shared" si="308"/>
        <v>0</v>
      </c>
      <c r="W1348" s="4" t="s">
        <v>249</v>
      </c>
      <c r="X1348" s="2"/>
      <c r="Y1348" s="11">
        <v>4</v>
      </c>
      <c r="Z1348" s="12">
        <f t="shared" si="317"/>
        <v>0</v>
      </c>
      <c r="AA1348" s="4" t="s">
        <v>174</v>
      </c>
      <c r="AC1348" s="176">
        <f t="shared" si="311"/>
        <v>0</v>
      </c>
    </row>
    <row r="1349" spans="2:29">
      <c r="B1349" s="183">
        <f t="shared" si="318"/>
        <v>45</v>
      </c>
      <c r="C1349" s="107" t="str">
        <f t="shared" si="319"/>
        <v>ATK</v>
      </c>
      <c r="D1349" s="2" t="s">
        <v>664</v>
      </c>
      <c r="E1349" s="3">
        <v>44083</v>
      </c>
      <c r="F1349" s="3">
        <v>44141</v>
      </c>
      <c r="G1349" s="108">
        <f t="shared" si="320"/>
        <v>11</v>
      </c>
      <c r="H1349" s="108" t="str">
        <f t="shared" si="321"/>
        <v>완료</v>
      </c>
      <c r="I1349" s="112" t="s">
        <v>218</v>
      </c>
      <c r="J1349" s="4" t="s">
        <v>127</v>
      </c>
      <c r="K1349" s="5" t="s">
        <v>135</v>
      </c>
      <c r="L1349" s="6" t="str">
        <f t="shared" si="316"/>
        <v>1T3</v>
      </c>
      <c r="M1349" s="13" t="s">
        <v>256</v>
      </c>
      <c r="N1349" s="7" t="s">
        <v>4038</v>
      </c>
      <c r="O1349" s="13" t="s">
        <v>478</v>
      </c>
      <c r="P1349" s="115" t="s">
        <v>279</v>
      </c>
      <c r="Q1349" s="8"/>
      <c r="R1349" s="2">
        <v>1</v>
      </c>
      <c r="S1349" s="9">
        <v>1600</v>
      </c>
      <c r="T1349" s="10">
        <f t="shared" si="307"/>
        <v>800</v>
      </c>
      <c r="U1349" s="9">
        <v>20</v>
      </c>
      <c r="V1349" s="10">
        <f t="shared" si="308"/>
        <v>780</v>
      </c>
      <c r="W1349" s="4" t="s">
        <v>249</v>
      </c>
      <c r="X1349" s="2"/>
      <c r="Y1349" s="11">
        <v>6</v>
      </c>
      <c r="Z1349" s="12">
        <f t="shared" si="317"/>
        <v>58</v>
      </c>
      <c r="AA1349" s="4" t="s">
        <v>27</v>
      </c>
      <c r="AC1349" s="176">
        <f t="shared" si="311"/>
        <v>1.8181818181818181E-2</v>
      </c>
    </row>
    <row r="1350" spans="2:29">
      <c r="B1350" s="183">
        <f t="shared" si="318"/>
        <v>38</v>
      </c>
      <c r="C1350" s="107" t="str">
        <f t="shared" si="319"/>
        <v>ATK</v>
      </c>
      <c r="D1350" s="2" t="s">
        <v>1222</v>
      </c>
      <c r="E1350" s="3">
        <v>44088</v>
      </c>
      <c r="F1350" s="3">
        <v>44088</v>
      </c>
      <c r="G1350" s="108">
        <f t="shared" si="320"/>
        <v>9</v>
      </c>
      <c r="H1350" s="108" t="str">
        <f t="shared" si="321"/>
        <v>완료</v>
      </c>
      <c r="I1350" s="112" t="s">
        <v>218</v>
      </c>
      <c r="J1350" s="4" t="s">
        <v>281</v>
      </c>
      <c r="K1350" s="5" t="s">
        <v>332</v>
      </c>
      <c r="L1350" s="6" t="str">
        <f t="shared" si="316"/>
        <v>EE2</v>
      </c>
      <c r="M1350" s="13" t="s">
        <v>256</v>
      </c>
      <c r="N1350" s="7" t="s">
        <v>3594</v>
      </c>
      <c r="O1350" s="13" t="s">
        <v>1142</v>
      </c>
      <c r="P1350" s="115" t="s">
        <v>1261</v>
      </c>
      <c r="Q1350" s="8"/>
      <c r="R1350" s="2">
        <v>1</v>
      </c>
      <c r="S1350" s="9">
        <v>3500</v>
      </c>
      <c r="T1350" s="10">
        <f t="shared" si="307"/>
        <v>1750</v>
      </c>
      <c r="U1350" s="9">
        <v>5</v>
      </c>
      <c r="V1350" s="10">
        <f t="shared" si="308"/>
        <v>1745</v>
      </c>
      <c r="W1350" s="4" t="s">
        <v>122</v>
      </c>
      <c r="X1350" s="2"/>
      <c r="Y1350" s="11">
        <v>2</v>
      </c>
      <c r="Z1350" s="12">
        <f t="shared" si="317"/>
        <v>0</v>
      </c>
      <c r="AA1350" s="4" t="s">
        <v>174</v>
      </c>
      <c r="AC1350" s="176">
        <f t="shared" si="311"/>
        <v>4.5454545454545452E-3</v>
      </c>
    </row>
    <row r="1351" spans="2:29">
      <c r="B1351" s="183">
        <f t="shared" si="318"/>
        <v>38</v>
      </c>
      <c r="C1351" s="107" t="str">
        <f t="shared" si="319"/>
        <v>ATK</v>
      </c>
      <c r="D1351" s="2" t="s">
        <v>4390</v>
      </c>
      <c r="E1351" s="3">
        <v>44085</v>
      </c>
      <c r="F1351" s="3">
        <v>44088</v>
      </c>
      <c r="G1351" s="108">
        <f t="shared" si="320"/>
        <v>9</v>
      </c>
      <c r="H1351" s="108" t="str">
        <f t="shared" si="321"/>
        <v>완료</v>
      </c>
      <c r="I1351" s="112" t="s">
        <v>218</v>
      </c>
      <c r="J1351" s="4" t="s">
        <v>243</v>
      </c>
      <c r="K1351" s="5" t="s">
        <v>243</v>
      </c>
      <c r="L1351" s="6" t="str">
        <f t="shared" si="316"/>
        <v>K5</v>
      </c>
      <c r="M1351" s="13" t="s">
        <v>4391</v>
      </c>
      <c r="N1351" s="7"/>
      <c r="O1351" s="13" t="s">
        <v>4392</v>
      </c>
      <c r="P1351" s="115"/>
      <c r="Q1351" s="8"/>
      <c r="R1351" s="2">
        <v>1</v>
      </c>
      <c r="S1351" s="9">
        <v>2280</v>
      </c>
      <c r="T1351" s="10">
        <f t="shared" ref="T1351:T1411" si="322">(S1351*50)/100*R1351</f>
        <v>1140</v>
      </c>
      <c r="U1351" s="9">
        <v>15</v>
      </c>
      <c r="V1351" s="10">
        <f t="shared" ref="V1351:V1411" si="323">T1351-U1351</f>
        <v>1125</v>
      </c>
      <c r="W1351" s="4" t="s">
        <v>122</v>
      </c>
      <c r="X1351" s="2"/>
      <c r="Y1351" s="11">
        <v>5</v>
      </c>
      <c r="Z1351" s="12">
        <f t="shared" si="317"/>
        <v>3</v>
      </c>
      <c r="AA1351" s="4" t="s">
        <v>117</v>
      </c>
      <c r="AC1351" s="176">
        <f t="shared" si="311"/>
        <v>1.3636363636363636E-2</v>
      </c>
    </row>
    <row r="1352" spans="2:29">
      <c r="B1352" s="183">
        <f t="shared" si="318"/>
        <v>38</v>
      </c>
      <c r="C1352" s="107" t="str">
        <f t="shared" si="319"/>
        <v>ATK</v>
      </c>
      <c r="D1352" s="2" t="s">
        <v>4105</v>
      </c>
      <c r="E1352" s="3">
        <v>44088</v>
      </c>
      <c r="F1352" s="3">
        <v>44088</v>
      </c>
      <c r="G1352" s="108">
        <f t="shared" si="320"/>
        <v>9</v>
      </c>
      <c r="H1352" s="108" t="str">
        <f t="shared" si="321"/>
        <v>완료</v>
      </c>
      <c r="I1352" s="112" t="s">
        <v>218</v>
      </c>
      <c r="J1352" s="4" t="s">
        <v>121</v>
      </c>
      <c r="K1352" s="5" t="s">
        <v>136</v>
      </c>
      <c r="L1352" s="6" t="str">
        <f t="shared" si="316"/>
        <v>5T1</v>
      </c>
      <c r="M1352" s="13" t="s">
        <v>4393</v>
      </c>
      <c r="N1352" s="7" t="s">
        <v>3511</v>
      </c>
      <c r="O1352" s="13" t="s">
        <v>287</v>
      </c>
      <c r="P1352" s="115"/>
      <c r="Q1352" s="8"/>
      <c r="R1352" s="2">
        <v>1</v>
      </c>
      <c r="S1352" s="9">
        <v>1200</v>
      </c>
      <c r="T1352" s="10">
        <f t="shared" si="322"/>
        <v>600</v>
      </c>
      <c r="U1352" s="9">
        <v>5</v>
      </c>
      <c r="V1352" s="10">
        <f t="shared" si="323"/>
        <v>595</v>
      </c>
      <c r="W1352" s="4" t="s">
        <v>122</v>
      </c>
      <c r="X1352" s="2"/>
      <c r="Y1352" s="11">
        <v>1</v>
      </c>
      <c r="Z1352" s="12">
        <f t="shared" si="317"/>
        <v>0</v>
      </c>
      <c r="AA1352" s="4" t="s">
        <v>117</v>
      </c>
      <c r="AC1352" s="176">
        <f t="shared" si="311"/>
        <v>4.5454545454545452E-3</v>
      </c>
    </row>
    <row r="1353" spans="2:29">
      <c r="B1353" s="183">
        <f t="shared" si="318"/>
        <v>38</v>
      </c>
      <c r="C1353" s="107" t="str">
        <f t="shared" si="319"/>
        <v>ATK</v>
      </c>
      <c r="D1353" s="2" t="s">
        <v>4394</v>
      </c>
      <c r="E1353" s="3">
        <v>44088</v>
      </c>
      <c r="F1353" s="3">
        <v>44088</v>
      </c>
      <c r="G1353" s="108">
        <f t="shared" si="320"/>
        <v>9</v>
      </c>
      <c r="H1353" s="108" t="str">
        <f t="shared" si="321"/>
        <v>완료</v>
      </c>
      <c r="I1353" s="112" t="s">
        <v>218</v>
      </c>
      <c r="J1353" s="4" t="s">
        <v>127</v>
      </c>
      <c r="K1353" s="5" t="s">
        <v>131</v>
      </c>
      <c r="L1353" s="6" t="str">
        <f t="shared" si="316"/>
        <v>1T4</v>
      </c>
      <c r="M1353" s="13" t="s">
        <v>2062</v>
      </c>
      <c r="N1353" s="7" t="s">
        <v>4395</v>
      </c>
      <c r="O1353" s="13" t="s">
        <v>4396</v>
      </c>
      <c r="P1353" s="115" t="s">
        <v>4397</v>
      </c>
      <c r="Q1353" s="8" t="s">
        <v>4398</v>
      </c>
      <c r="R1353" s="2">
        <v>1</v>
      </c>
      <c r="S1353" s="9">
        <v>1100</v>
      </c>
      <c r="T1353" s="10">
        <f t="shared" si="322"/>
        <v>550</v>
      </c>
      <c r="U1353" s="9">
        <v>0</v>
      </c>
      <c r="V1353" s="10">
        <f t="shared" si="323"/>
        <v>550</v>
      </c>
      <c r="W1353" s="4" t="s">
        <v>122</v>
      </c>
      <c r="X1353" s="2"/>
      <c r="Y1353" s="11">
        <v>3</v>
      </c>
      <c r="Z1353" s="12">
        <f t="shared" si="317"/>
        <v>0</v>
      </c>
      <c r="AA1353" s="4" t="s">
        <v>120</v>
      </c>
      <c r="AC1353" s="176">
        <f t="shared" si="311"/>
        <v>0</v>
      </c>
    </row>
    <row r="1354" spans="2:29">
      <c r="B1354" s="183">
        <f t="shared" si="318"/>
        <v>50</v>
      </c>
      <c r="C1354" s="107" t="str">
        <f t="shared" si="319"/>
        <v>ATK</v>
      </c>
      <c r="D1354" s="2" t="s">
        <v>4399</v>
      </c>
      <c r="E1354" s="3">
        <v>44088</v>
      </c>
      <c r="F1354" s="3">
        <v>44172</v>
      </c>
      <c r="G1354" s="108">
        <f t="shared" si="320"/>
        <v>12</v>
      </c>
      <c r="H1354" s="108" t="str">
        <f t="shared" si="321"/>
        <v>수리불가</v>
      </c>
      <c r="I1354" s="112" t="s">
        <v>601</v>
      </c>
      <c r="J1354" s="4" t="s">
        <v>132</v>
      </c>
      <c r="K1354" s="5" t="s">
        <v>143</v>
      </c>
      <c r="L1354" s="6" t="str">
        <f t="shared" si="316"/>
        <v>3T4</v>
      </c>
      <c r="M1354" s="13" t="s">
        <v>158</v>
      </c>
      <c r="N1354" s="7" t="s">
        <v>3500</v>
      </c>
      <c r="O1354" s="13" t="s">
        <v>320</v>
      </c>
      <c r="P1354" s="115" t="s">
        <v>4400</v>
      </c>
      <c r="Q1354" s="8"/>
      <c r="R1354" s="2">
        <v>1</v>
      </c>
      <c r="S1354" s="9">
        <v>1200</v>
      </c>
      <c r="T1354" s="10">
        <f t="shared" si="322"/>
        <v>600</v>
      </c>
      <c r="U1354" s="9">
        <v>0</v>
      </c>
      <c r="V1354" s="10">
        <f t="shared" si="323"/>
        <v>600</v>
      </c>
      <c r="W1354" s="4" t="s">
        <v>249</v>
      </c>
      <c r="X1354" s="2"/>
      <c r="Y1354" s="11">
        <v>1</v>
      </c>
      <c r="Z1354" s="12">
        <f t="shared" si="317"/>
        <v>84</v>
      </c>
      <c r="AA1354" s="4" t="s">
        <v>174</v>
      </c>
      <c r="AC1354" s="176">
        <f t="shared" si="311"/>
        <v>0</v>
      </c>
    </row>
    <row r="1355" spans="2:29">
      <c r="B1355" s="183">
        <f t="shared" si="318"/>
        <v>38</v>
      </c>
      <c r="C1355" s="107" t="str">
        <f t="shared" si="319"/>
        <v>ATK</v>
      </c>
      <c r="D1355" s="2" t="s">
        <v>4401</v>
      </c>
      <c r="E1355" s="3">
        <v>44088</v>
      </c>
      <c r="F1355" s="3">
        <v>44088</v>
      </c>
      <c r="G1355" s="108">
        <f t="shared" si="320"/>
        <v>9</v>
      </c>
      <c r="H1355" s="108" t="str">
        <f t="shared" si="321"/>
        <v>완료</v>
      </c>
      <c r="I1355" s="112" t="s">
        <v>218</v>
      </c>
      <c r="J1355" s="4" t="s">
        <v>115</v>
      </c>
      <c r="K1355" s="5" t="s">
        <v>116</v>
      </c>
      <c r="L1355" s="6" t="str">
        <f t="shared" si="316"/>
        <v>EE2</v>
      </c>
      <c r="M1355" s="13" t="s">
        <v>256</v>
      </c>
      <c r="N1355" s="7" t="s">
        <v>4403</v>
      </c>
      <c r="O1355" s="13" t="s">
        <v>4402</v>
      </c>
      <c r="P1355" s="115" t="s">
        <v>4404</v>
      </c>
      <c r="Q1355" s="8"/>
      <c r="R1355" s="2">
        <v>1</v>
      </c>
      <c r="S1355" s="9">
        <v>4000</v>
      </c>
      <c r="T1355" s="10">
        <f t="shared" si="322"/>
        <v>2000</v>
      </c>
      <c r="U1355" s="9">
        <v>100</v>
      </c>
      <c r="V1355" s="10">
        <f t="shared" si="323"/>
        <v>1900</v>
      </c>
      <c r="W1355" s="4" t="s">
        <v>122</v>
      </c>
      <c r="X1355" s="2"/>
      <c r="Y1355" s="11">
        <v>4</v>
      </c>
      <c r="Z1355" s="12">
        <f t="shared" si="317"/>
        <v>0</v>
      </c>
      <c r="AA1355" s="4" t="s">
        <v>212</v>
      </c>
      <c r="AC1355" s="176">
        <f t="shared" si="311"/>
        <v>9.0909090909090912E-2</v>
      </c>
    </row>
    <row r="1356" spans="2:29">
      <c r="B1356" s="183">
        <f t="shared" si="318"/>
        <v>38</v>
      </c>
      <c r="C1356" s="107" t="str">
        <f t="shared" si="319"/>
        <v>ATK</v>
      </c>
      <c r="D1356" s="2" t="s">
        <v>4401</v>
      </c>
      <c r="E1356" s="3">
        <v>44089</v>
      </c>
      <c r="F1356" s="3">
        <v>44089</v>
      </c>
      <c r="G1356" s="108">
        <f t="shared" si="320"/>
        <v>9</v>
      </c>
      <c r="H1356" s="108" t="str">
        <f t="shared" si="321"/>
        <v>완료</v>
      </c>
      <c r="I1356" s="112" t="s">
        <v>218</v>
      </c>
      <c r="J1356" s="4" t="s">
        <v>115</v>
      </c>
      <c r="K1356" s="5" t="s">
        <v>116</v>
      </c>
      <c r="L1356" s="6" t="str">
        <f t="shared" si="316"/>
        <v>EE2</v>
      </c>
      <c r="M1356" s="13" t="s">
        <v>256</v>
      </c>
      <c r="N1356" s="7" t="s">
        <v>4038</v>
      </c>
      <c r="O1356" s="13" t="s">
        <v>602</v>
      </c>
      <c r="P1356" s="115" t="s">
        <v>4405</v>
      </c>
      <c r="Q1356" s="8"/>
      <c r="R1356" s="2">
        <v>1</v>
      </c>
      <c r="S1356" s="9">
        <v>3000</v>
      </c>
      <c r="T1356" s="10">
        <f t="shared" si="322"/>
        <v>1500</v>
      </c>
      <c r="U1356" s="9"/>
      <c r="V1356" s="10">
        <f t="shared" si="323"/>
        <v>1500</v>
      </c>
      <c r="W1356" s="4" t="s">
        <v>122</v>
      </c>
      <c r="X1356" s="2"/>
      <c r="Y1356" s="11">
        <v>2</v>
      </c>
      <c r="Z1356" s="12">
        <f t="shared" si="317"/>
        <v>0</v>
      </c>
      <c r="AA1356" s="4" t="s">
        <v>212</v>
      </c>
      <c r="AC1356" s="176">
        <f t="shared" si="311"/>
        <v>0</v>
      </c>
    </row>
    <row r="1357" spans="2:29">
      <c r="B1357" s="183">
        <f t="shared" si="318"/>
        <v>43</v>
      </c>
      <c r="C1357" s="107" t="str">
        <f t="shared" si="319"/>
        <v>ATK</v>
      </c>
      <c r="D1357" s="2" t="s">
        <v>4406</v>
      </c>
      <c r="E1357" s="3">
        <v>44089</v>
      </c>
      <c r="F1357" s="3">
        <v>44124</v>
      </c>
      <c r="G1357" s="108">
        <f t="shared" si="320"/>
        <v>10</v>
      </c>
      <c r="H1357" s="108" t="str">
        <f t="shared" si="321"/>
        <v>완료</v>
      </c>
      <c r="I1357" s="112" t="s">
        <v>218</v>
      </c>
      <c r="J1357" s="4" t="s">
        <v>127</v>
      </c>
      <c r="K1357" s="5" t="s">
        <v>209</v>
      </c>
      <c r="L1357" s="6" t="str">
        <f t="shared" si="316"/>
        <v>1T2</v>
      </c>
      <c r="M1357" s="13" t="s">
        <v>256</v>
      </c>
      <c r="N1357" s="7" t="s">
        <v>4407</v>
      </c>
      <c r="O1357" s="13" t="s">
        <v>4408</v>
      </c>
      <c r="P1357" s="115" t="s">
        <v>4409</v>
      </c>
      <c r="Q1357" s="8" t="s">
        <v>5611</v>
      </c>
      <c r="R1357" s="2">
        <v>2</v>
      </c>
      <c r="S1357" s="9">
        <v>3500</v>
      </c>
      <c r="T1357" s="10">
        <f t="shared" si="322"/>
        <v>3500</v>
      </c>
      <c r="U1357" s="9">
        <v>500</v>
      </c>
      <c r="V1357" s="10">
        <f t="shared" si="323"/>
        <v>3000</v>
      </c>
      <c r="W1357" s="4" t="s">
        <v>122</v>
      </c>
      <c r="X1357" s="2"/>
      <c r="Y1357" s="11">
        <v>6</v>
      </c>
      <c r="Z1357" s="12">
        <f t="shared" si="317"/>
        <v>35</v>
      </c>
      <c r="AA1357" s="4" t="s">
        <v>212</v>
      </c>
      <c r="AC1357" s="176">
        <f t="shared" si="311"/>
        <v>0.45454545454545453</v>
      </c>
    </row>
    <row r="1358" spans="2:29">
      <c r="B1358" s="183">
        <f t="shared" si="318"/>
        <v>38</v>
      </c>
      <c r="C1358" s="107" t="str">
        <f t="shared" si="319"/>
        <v>ATK</v>
      </c>
      <c r="D1358" s="2" t="s">
        <v>4410</v>
      </c>
      <c r="E1358" s="3">
        <v>44089</v>
      </c>
      <c r="F1358" s="3">
        <v>44089</v>
      </c>
      <c r="G1358" s="108">
        <f t="shared" si="320"/>
        <v>9</v>
      </c>
      <c r="H1358" s="108" t="str">
        <f t="shared" si="321"/>
        <v>완료</v>
      </c>
      <c r="I1358" s="112" t="s">
        <v>218</v>
      </c>
      <c r="J1358" s="4" t="s">
        <v>132</v>
      </c>
      <c r="K1358" s="5" t="s">
        <v>143</v>
      </c>
      <c r="L1358" s="6" t="str">
        <f t="shared" si="316"/>
        <v>3T4</v>
      </c>
      <c r="M1358" s="13" t="s">
        <v>256</v>
      </c>
      <c r="N1358" s="7" t="s">
        <v>4412</v>
      </c>
      <c r="O1358" s="13" t="s">
        <v>3417</v>
      </c>
      <c r="P1358" s="115" t="s">
        <v>4415</v>
      </c>
      <c r="Q1358" s="8" t="s">
        <v>4418</v>
      </c>
      <c r="R1358" s="2">
        <v>1</v>
      </c>
      <c r="S1358" s="9">
        <v>4200</v>
      </c>
      <c r="T1358" s="10">
        <f t="shared" si="322"/>
        <v>2100</v>
      </c>
      <c r="U1358" s="9">
        <v>0</v>
      </c>
      <c r="V1358" s="10">
        <f t="shared" si="323"/>
        <v>2100</v>
      </c>
      <c r="W1358" s="4" t="s">
        <v>122</v>
      </c>
      <c r="X1358" s="2"/>
      <c r="Y1358" s="11">
        <v>4</v>
      </c>
      <c r="Z1358" s="12">
        <f t="shared" si="317"/>
        <v>0</v>
      </c>
      <c r="AA1358" s="4" t="s">
        <v>120</v>
      </c>
      <c r="AC1358" s="176">
        <f t="shared" si="311"/>
        <v>0</v>
      </c>
    </row>
    <row r="1359" spans="2:29">
      <c r="B1359" s="183">
        <f t="shared" si="318"/>
        <v>38</v>
      </c>
      <c r="C1359" s="107" t="str">
        <f t="shared" si="319"/>
        <v>ATK</v>
      </c>
      <c r="D1359" s="2" t="s">
        <v>4411</v>
      </c>
      <c r="E1359" s="3">
        <v>44067</v>
      </c>
      <c r="F1359" s="3">
        <v>44089</v>
      </c>
      <c r="G1359" s="108">
        <f t="shared" si="320"/>
        <v>9</v>
      </c>
      <c r="H1359" s="108" t="str">
        <f t="shared" si="321"/>
        <v>완료</v>
      </c>
      <c r="I1359" s="112" t="s">
        <v>218</v>
      </c>
      <c r="J1359" s="4" t="s">
        <v>121</v>
      </c>
      <c r="K1359" s="5" t="s">
        <v>136</v>
      </c>
      <c r="L1359" s="6" t="str">
        <f t="shared" si="316"/>
        <v>5T1</v>
      </c>
      <c r="M1359" s="13" t="s">
        <v>242</v>
      </c>
      <c r="N1359" s="7" t="s">
        <v>4413</v>
      </c>
      <c r="O1359" s="13" t="s">
        <v>4414</v>
      </c>
      <c r="P1359" s="115" t="s">
        <v>4416</v>
      </c>
      <c r="Q1359" s="8" t="s">
        <v>4417</v>
      </c>
      <c r="R1359" s="2">
        <v>1</v>
      </c>
      <c r="S1359" s="9">
        <v>4300</v>
      </c>
      <c r="T1359" s="10">
        <f t="shared" si="322"/>
        <v>2150</v>
      </c>
      <c r="U1359" s="9">
        <v>22</v>
      </c>
      <c r="V1359" s="10">
        <f t="shared" si="323"/>
        <v>2128</v>
      </c>
      <c r="W1359" s="4" t="s">
        <v>122</v>
      </c>
      <c r="X1359" s="2"/>
      <c r="Y1359" s="11">
        <v>4</v>
      </c>
      <c r="Z1359" s="12">
        <f t="shared" si="317"/>
        <v>22</v>
      </c>
      <c r="AA1359" s="4" t="s">
        <v>120</v>
      </c>
      <c r="AC1359" s="176">
        <f t="shared" si="311"/>
        <v>0.02</v>
      </c>
    </row>
    <row r="1360" spans="2:29">
      <c r="B1360" s="183">
        <f t="shared" si="318"/>
        <v>38</v>
      </c>
      <c r="C1360" s="107" t="str">
        <f t="shared" si="319"/>
        <v>ATK</v>
      </c>
      <c r="D1360" s="2" t="s">
        <v>4419</v>
      </c>
      <c r="E1360" s="3">
        <v>44089</v>
      </c>
      <c r="F1360" s="3">
        <v>44089</v>
      </c>
      <c r="G1360" s="108">
        <f t="shared" si="320"/>
        <v>9</v>
      </c>
      <c r="H1360" s="108" t="str">
        <f t="shared" si="321"/>
        <v>완료</v>
      </c>
      <c r="I1360" s="112" t="s">
        <v>218</v>
      </c>
      <c r="J1360" s="4" t="s">
        <v>132</v>
      </c>
      <c r="K1360" s="5" t="s">
        <v>143</v>
      </c>
      <c r="L1360" s="6" t="str">
        <f t="shared" si="316"/>
        <v>3T4</v>
      </c>
      <c r="M1360" s="13"/>
      <c r="N1360" s="7"/>
      <c r="O1360" s="13" t="s">
        <v>367</v>
      </c>
      <c r="P1360" s="115"/>
      <c r="Q1360" s="8"/>
      <c r="R1360" s="2">
        <v>1</v>
      </c>
      <c r="S1360" s="9">
        <v>900</v>
      </c>
      <c r="T1360" s="10">
        <f t="shared" si="322"/>
        <v>450</v>
      </c>
      <c r="U1360" s="9">
        <v>40</v>
      </c>
      <c r="V1360" s="10">
        <f t="shared" si="323"/>
        <v>410</v>
      </c>
      <c r="W1360" s="4" t="s">
        <v>122</v>
      </c>
      <c r="X1360" s="2"/>
      <c r="Y1360" s="11">
        <v>2</v>
      </c>
      <c r="Z1360" s="12">
        <f t="shared" si="317"/>
        <v>0</v>
      </c>
      <c r="AA1360" s="4" t="s">
        <v>117</v>
      </c>
      <c r="AC1360" s="176">
        <f t="shared" si="311"/>
        <v>3.6363636363636362E-2</v>
      </c>
    </row>
    <row r="1361" spans="2:29">
      <c r="B1361" s="183">
        <f t="shared" si="318"/>
        <v>38</v>
      </c>
      <c r="C1361" s="107" t="str">
        <f t="shared" si="319"/>
        <v>ATK</v>
      </c>
      <c r="D1361" s="2" t="s">
        <v>4420</v>
      </c>
      <c r="E1361" s="3">
        <v>44089</v>
      </c>
      <c r="F1361" s="3">
        <v>44089</v>
      </c>
      <c r="G1361" s="108">
        <f t="shared" si="320"/>
        <v>9</v>
      </c>
      <c r="H1361" s="108" t="str">
        <f t="shared" si="321"/>
        <v>Other</v>
      </c>
      <c r="I1361" s="112" t="s">
        <v>251</v>
      </c>
      <c r="J1361" s="4" t="s">
        <v>4421</v>
      </c>
      <c r="K1361" s="5" t="s">
        <v>322</v>
      </c>
      <c r="L1361" s="6" t="str">
        <f t="shared" si="316"/>
        <v>3T1</v>
      </c>
      <c r="M1361" s="13" t="s">
        <v>4422</v>
      </c>
      <c r="N1361" s="7" t="s">
        <v>4423</v>
      </c>
      <c r="O1361" s="13" t="s">
        <v>4422</v>
      </c>
      <c r="P1361" s="115" t="s">
        <v>4424</v>
      </c>
      <c r="Q1361" s="8"/>
      <c r="R1361" s="2">
        <v>1</v>
      </c>
      <c r="S1361" s="9">
        <v>0</v>
      </c>
      <c r="T1361" s="10">
        <f t="shared" si="322"/>
        <v>0</v>
      </c>
      <c r="U1361" s="9">
        <v>0</v>
      </c>
      <c r="V1361" s="10">
        <f t="shared" si="323"/>
        <v>0</v>
      </c>
      <c r="W1361" s="4" t="s">
        <v>122</v>
      </c>
      <c r="X1361" s="2"/>
      <c r="Y1361" s="11">
        <v>6</v>
      </c>
      <c r="Z1361" s="12">
        <f t="shared" si="317"/>
        <v>0</v>
      </c>
      <c r="AA1361" s="4" t="s">
        <v>4425</v>
      </c>
      <c r="AC1361" s="176">
        <f t="shared" si="311"/>
        <v>0</v>
      </c>
    </row>
    <row r="1362" spans="2:29">
      <c r="B1362" s="183">
        <f t="shared" si="318"/>
        <v>38</v>
      </c>
      <c r="C1362" s="107" t="str">
        <f t="shared" si="319"/>
        <v>ATK</v>
      </c>
      <c r="D1362" s="2" t="s">
        <v>4420</v>
      </c>
      <c r="E1362" s="3">
        <v>44089</v>
      </c>
      <c r="F1362" s="3">
        <v>44089</v>
      </c>
      <c r="G1362" s="108">
        <f t="shared" si="320"/>
        <v>9</v>
      </c>
      <c r="H1362" s="108" t="str">
        <f t="shared" si="321"/>
        <v>Other</v>
      </c>
      <c r="I1362" s="112" t="s">
        <v>251</v>
      </c>
      <c r="J1362" s="4" t="s">
        <v>4421</v>
      </c>
      <c r="K1362" s="5" t="s">
        <v>322</v>
      </c>
      <c r="L1362" s="6" t="str">
        <f t="shared" si="316"/>
        <v>3T1</v>
      </c>
      <c r="M1362" s="13" t="s">
        <v>4422</v>
      </c>
      <c r="N1362" s="7" t="s">
        <v>4423</v>
      </c>
      <c r="O1362" s="13" t="s">
        <v>4422</v>
      </c>
      <c r="P1362" s="115" t="s">
        <v>4424</v>
      </c>
      <c r="Q1362" s="8"/>
      <c r="R1362" s="2">
        <v>1</v>
      </c>
      <c r="S1362" s="9">
        <v>0</v>
      </c>
      <c r="T1362" s="10">
        <f t="shared" ref="T1362:T1363" si="324">(S1362*50)/100*R1362</f>
        <v>0</v>
      </c>
      <c r="U1362" s="9">
        <v>0</v>
      </c>
      <c r="V1362" s="10">
        <f t="shared" ref="V1362:V1363" si="325">T1362-U1362</f>
        <v>0</v>
      </c>
      <c r="W1362" s="4" t="s">
        <v>122</v>
      </c>
      <c r="X1362" s="2"/>
      <c r="Y1362" s="11">
        <v>6</v>
      </c>
      <c r="Z1362" s="12">
        <f t="shared" si="317"/>
        <v>0</v>
      </c>
      <c r="AA1362" s="4" t="s">
        <v>4426</v>
      </c>
      <c r="AC1362" s="176">
        <f t="shared" si="311"/>
        <v>0</v>
      </c>
    </row>
    <row r="1363" spans="2:29">
      <c r="B1363" s="183">
        <f t="shared" si="318"/>
        <v>38</v>
      </c>
      <c r="C1363" s="107" t="str">
        <f t="shared" si="319"/>
        <v>ATK</v>
      </c>
      <c r="D1363" s="2" t="s">
        <v>4420</v>
      </c>
      <c r="E1363" s="3">
        <v>44089</v>
      </c>
      <c r="F1363" s="3">
        <v>44089</v>
      </c>
      <c r="G1363" s="108">
        <f t="shared" si="320"/>
        <v>9</v>
      </c>
      <c r="H1363" s="108" t="str">
        <f t="shared" si="321"/>
        <v>Other</v>
      </c>
      <c r="I1363" s="112" t="s">
        <v>251</v>
      </c>
      <c r="J1363" s="4" t="s">
        <v>4421</v>
      </c>
      <c r="K1363" s="5" t="s">
        <v>322</v>
      </c>
      <c r="L1363" s="6" t="str">
        <f t="shared" si="316"/>
        <v>3T1</v>
      </c>
      <c r="M1363" s="13" t="s">
        <v>4422</v>
      </c>
      <c r="N1363" s="7" t="s">
        <v>4423</v>
      </c>
      <c r="O1363" s="13" t="s">
        <v>4422</v>
      </c>
      <c r="P1363" s="115" t="s">
        <v>4424</v>
      </c>
      <c r="Q1363" s="8"/>
      <c r="R1363" s="2">
        <v>1</v>
      </c>
      <c r="S1363" s="9">
        <v>0</v>
      </c>
      <c r="T1363" s="10">
        <f t="shared" si="324"/>
        <v>0</v>
      </c>
      <c r="U1363" s="9">
        <v>0</v>
      </c>
      <c r="V1363" s="10">
        <f t="shared" si="325"/>
        <v>0</v>
      </c>
      <c r="W1363" s="4" t="s">
        <v>122</v>
      </c>
      <c r="X1363" s="2"/>
      <c r="Y1363" s="11">
        <v>6</v>
      </c>
      <c r="Z1363" s="12">
        <f t="shared" si="317"/>
        <v>0</v>
      </c>
      <c r="AA1363" s="4" t="s">
        <v>4427</v>
      </c>
      <c r="AC1363" s="176">
        <f t="shared" si="311"/>
        <v>0</v>
      </c>
    </row>
    <row r="1364" spans="2:29" ht="24">
      <c r="B1364" s="183">
        <f t="shared" si="318"/>
        <v>38</v>
      </c>
      <c r="C1364" s="107" t="str">
        <f t="shared" si="319"/>
        <v>ATK</v>
      </c>
      <c r="D1364" s="2" t="s">
        <v>4428</v>
      </c>
      <c r="E1364" s="3">
        <v>44088</v>
      </c>
      <c r="F1364" s="3">
        <v>44090</v>
      </c>
      <c r="G1364" s="108">
        <f t="shared" si="320"/>
        <v>9</v>
      </c>
      <c r="H1364" s="108" t="str">
        <f t="shared" si="321"/>
        <v>완료</v>
      </c>
      <c r="I1364" s="112" t="s">
        <v>218</v>
      </c>
      <c r="J1364" s="4" t="s">
        <v>243</v>
      </c>
      <c r="K1364" s="5" t="s">
        <v>243</v>
      </c>
      <c r="L1364" s="6" t="str">
        <f t="shared" si="316"/>
        <v>K5</v>
      </c>
      <c r="M1364" s="13" t="s">
        <v>4430</v>
      </c>
      <c r="N1364" s="7" t="s">
        <v>4429</v>
      </c>
      <c r="O1364" s="13" t="s">
        <v>2251</v>
      </c>
      <c r="P1364" s="115" t="s">
        <v>2252</v>
      </c>
      <c r="Q1364" s="8" t="s">
        <v>2253</v>
      </c>
      <c r="R1364" s="2">
        <v>1</v>
      </c>
      <c r="S1364" s="9">
        <v>4000</v>
      </c>
      <c r="T1364" s="10">
        <f t="shared" si="322"/>
        <v>2000</v>
      </c>
      <c r="U1364" s="9">
        <v>0</v>
      </c>
      <c r="V1364" s="10">
        <f t="shared" si="323"/>
        <v>2000</v>
      </c>
      <c r="W1364" s="4" t="s">
        <v>122</v>
      </c>
      <c r="X1364" s="2"/>
      <c r="Y1364" s="11">
        <v>8</v>
      </c>
      <c r="Z1364" s="12">
        <f t="shared" si="317"/>
        <v>2</v>
      </c>
      <c r="AA1364" s="4" t="s">
        <v>120</v>
      </c>
      <c r="AC1364" s="176">
        <f t="shared" si="311"/>
        <v>0</v>
      </c>
    </row>
    <row r="1365" spans="2:29">
      <c r="B1365" s="183">
        <f t="shared" si="318"/>
        <v>38</v>
      </c>
      <c r="C1365" s="107" t="str">
        <f t="shared" si="319"/>
        <v>ATK</v>
      </c>
      <c r="D1365" s="2" t="s">
        <v>4432</v>
      </c>
      <c r="E1365" s="3">
        <v>44085</v>
      </c>
      <c r="F1365" s="3">
        <v>44090</v>
      </c>
      <c r="G1365" s="108">
        <f t="shared" si="320"/>
        <v>9</v>
      </c>
      <c r="H1365" s="108" t="str">
        <f t="shared" si="321"/>
        <v>완료</v>
      </c>
      <c r="I1365" s="112" t="s">
        <v>218</v>
      </c>
      <c r="J1365" s="4" t="s">
        <v>118</v>
      </c>
      <c r="K1365" s="5" t="s">
        <v>134</v>
      </c>
      <c r="L1365" s="6" t="str">
        <f t="shared" si="316"/>
        <v>2T1</v>
      </c>
      <c r="M1365" s="13" t="s">
        <v>1226</v>
      </c>
      <c r="N1365" s="7" t="s">
        <v>4115</v>
      </c>
      <c r="O1365" s="7" t="s">
        <v>3156</v>
      </c>
      <c r="P1365" s="115" t="s">
        <v>208</v>
      </c>
      <c r="Q1365" s="8"/>
      <c r="R1365" s="2">
        <v>1</v>
      </c>
      <c r="S1365" s="9">
        <v>3000</v>
      </c>
      <c r="T1365" s="10">
        <f t="shared" si="322"/>
        <v>1500</v>
      </c>
      <c r="U1365" s="9">
        <v>3</v>
      </c>
      <c r="V1365" s="10">
        <f t="shared" si="323"/>
        <v>1497</v>
      </c>
      <c r="W1365" s="4" t="s">
        <v>122</v>
      </c>
      <c r="X1365" s="2"/>
      <c r="Y1365" s="11">
        <v>8</v>
      </c>
      <c r="Z1365" s="12">
        <f t="shared" si="317"/>
        <v>5</v>
      </c>
      <c r="AA1365" s="4" t="s">
        <v>117</v>
      </c>
      <c r="AC1365" s="176">
        <f t="shared" si="311"/>
        <v>2.7272727272727275E-3</v>
      </c>
    </row>
    <row r="1366" spans="2:29">
      <c r="B1366" s="183">
        <f t="shared" si="318"/>
        <v>38</v>
      </c>
      <c r="C1366" s="107" t="str">
        <f t="shared" si="319"/>
        <v>ATK</v>
      </c>
      <c r="D1366" s="2" t="s">
        <v>221</v>
      </c>
      <c r="E1366" s="3">
        <v>44088</v>
      </c>
      <c r="F1366" s="3">
        <v>44090</v>
      </c>
      <c r="G1366" s="108">
        <f t="shared" si="320"/>
        <v>9</v>
      </c>
      <c r="H1366" s="108" t="str">
        <f t="shared" si="321"/>
        <v>완료</v>
      </c>
      <c r="I1366" s="112" t="s">
        <v>218</v>
      </c>
      <c r="J1366" s="4" t="s">
        <v>748</v>
      </c>
      <c r="K1366" s="5" t="s">
        <v>177</v>
      </c>
      <c r="L1366" s="6" t="str">
        <f t="shared" si="316"/>
        <v>Bum</v>
      </c>
      <c r="M1366" s="13" t="s">
        <v>4433</v>
      </c>
      <c r="N1366" s="7" t="s">
        <v>4434</v>
      </c>
      <c r="O1366" s="13" t="s">
        <v>4435</v>
      </c>
      <c r="P1366" s="115"/>
      <c r="Q1366" s="8"/>
      <c r="R1366" s="2">
        <v>1</v>
      </c>
      <c r="S1366" s="9">
        <v>600</v>
      </c>
      <c r="T1366" s="10">
        <f t="shared" si="322"/>
        <v>300</v>
      </c>
      <c r="U1366" s="9">
        <v>5</v>
      </c>
      <c r="V1366" s="10">
        <f t="shared" si="323"/>
        <v>295</v>
      </c>
      <c r="W1366" s="4" t="s">
        <v>122</v>
      </c>
      <c r="X1366" s="2"/>
      <c r="Y1366" s="11">
        <v>2</v>
      </c>
      <c r="Z1366" s="12">
        <f t="shared" si="317"/>
        <v>2</v>
      </c>
      <c r="AA1366" s="4" t="s">
        <v>117</v>
      </c>
      <c r="AC1366" s="176">
        <f t="shared" si="311"/>
        <v>4.5454545454545452E-3</v>
      </c>
    </row>
    <row r="1367" spans="2:29">
      <c r="B1367" s="183">
        <f t="shared" si="318"/>
        <v>38</v>
      </c>
      <c r="C1367" s="107" t="str">
        <f t="shared" si="319"/>
        <v>ATK</v>
      </c>
      <c r="D1367" s="2" t="s">
        <v>4436</v>
      </c>
      <c r="E1367" s="3">
        <v>44088</v>
      </c>
      <c r="F1367" s="3">
        <v>44090</v>
      </c>
      <c r="G1367" s="108">
        <f t="shared" si="320"/>
        <v>9</v>
      </c>
      <c r="H1367" s="108" t="str">
        <f t="shared" si="321"/>
        <v>완료</v>
      </c>
      <c r="I1367" s="112" t="s">
        <v>218</v>
      </c>
      <c r="J1367" s="4" t="s">
        <v>132</v>
      </c>
      <c r="K1367" s="5" t="s">
        <v>133</v>
      </c>
      <c r="L1367" s="6" t="str">
        <f t="shared" si="316"/>
        <v>3T3</v>
      </c>
      <c r="M1367" s="13" t="s">
        <v>730</v>
      </c>
      <c r="N1367" s="7" t="s">
        <v>4437</v>
      </c>
      <c r="O1367" s="13" t="s">
        <v>4438</v>
      </c>
      <c r="P1367" s="115"/>
      <c r="Q1367" s="8"/>
      <c r="R1367" s="2">
        <v>2</v>
      </c>
      <c r="S1367" s="9">
        <v>3500</v>
      </c>
      <c r="T1367" s="10">
        <f t="shared" si="322"/>
        <v>3500</v>
      </c>
      <c r="U1367" s="9">
        <v>5</v>
      </c>
      <c r="V1367" s="10">
        <f t="shared" si="323"/>
        <v>3495</v>
      </c>
      <c r="W1367" s="4" t="s">
        <v>122</v>
      </c>
      <c r="X1367" s="2"/>
      <c r="Y1367" s="11">
        <v>2</v>
      </c>
      <c r="Z1367" s="12">
        <f t="shared" si="317"/>
        <v>2</v>
      </c>
      <c r="AA1367" s="4" t="s">
        <v>117</v>
      </c>
      <c r="AC1367" s="176">
        <f t="shared" si="311"/>
        <v>4.5454545454545452E-3</v>
      </c>
    </row>
    <row r="1368" spans="2:29">
      <c r="B1368" s="183">
        <f t="shared" si="318"/>
        <v>38</v>
      </c>
      <c r="C1368" s="107" t="str">
        <f t="shared" si="319"/>
        <v>ATK</v>
      </c>
      <c r="D1368" s="2" t="s">
        <v>4439</v>
      </c>
      <c r="E1368" s="3">
        <v>44089</v>
      </c>
      <c r="F1368" s="3">
        <v>44090</v>
      </c>
      <c r="G1368" s="108">
        <f t="shared" si="320"/>
        <v>9</v>
      </c>
      <c r="H1368" s="108" t="str">
        <f t="shared" si="321"/>
        <v>완료</v>
      </c>
      <c r="I1368" s="112" t="s">
        <v>218</v>
      </c>
      <c r="J1368" s="4" t="s">
        <v>121</v>
      </c>
      <c r="K1368" s="5" t="s">
        <v>229</v>
      </c>
      <c r="L1368" s="6" t="str">
        <f t="shared" si="316"/>
        <v>5T2</v>
      </c>
      <c r="M1368" s="13" t="s">
        <v>4440</v>
      </c>
      <c r="N1368" s="7" t="s">
        <v>4441</v>
      </c>
      <c r="O1368" s="13" t="s">
        <v>4442</v>
      </c>
      <c r="P1368" s="115" t="s">
        <v>4443</v>
      </c>
      <c r="Q1368" s="8"/>
      <c r="R1368" s="2">
        <v>1</v>
      </c>
      <c r="S1368" s="9">
        <v>1500</v>
      </c>
      <c r="T1368" s="10">
        <f t="shared" si="322"/>
        <v>750</v>
      </c>
      <c r="U1368" s="9">
        <v>70</v>
      </c>
      <c r="V1368" s="10">
        <f t="shared" si="323"/>
        <v>680</v>
      </c>
      <c r="W1368" s="4" t="s">
        <v>122</v>
      </c>
      <c r="X1368" s="2"/>
      <c r="Y1368" s="11">
        <v>6</v>
      </c>
      <c r="Z1368" s="12">
        <f t="shared" si="317"/>
        <v>1</v>
      </c>
      <c r="AA1368" s="4" t="s">
        <v>212</v>
      </c>
      <c r="AC1368" s="176">
        <f t="shared" si="311"/>
        <v>6.363636363636363E-2</v>
      </c>
    </row>
    <row r="1369" spans="2:29">
      <c r="B1369" s="183">
        <f t="shared" si="318"/>
        <v>38</v>
      </c>
      <c r="C1369" s="107" t="str">
        <f t="shared" si="319"/>
        <v>ATK</v>
      </c>
      <c r="D1369" s="2" t="s">
        <v>652</v>
      </c>
      <c r="E1369" s="3">
        <v>44091</v>
      </c>
      <c r="F1369" s="3">
        <v>44091</v>
      </c>
      <c r="G1369" s="108">
        <f t="shared" si="320"/>
        <v>9</v>
      </c>
      <c r="H1369" s="108" t="str">
        <f t="shared" si="321"/>
        <v>완료</v>
      </c>
      <c r="I1369" s="112" t="s">
        <v>218</v>
      </c>
      <c r="J1369" s="4" t="s">
        <v>281</v>
      </c>
      <c r="K1369" s="5" t="s">
        <v>332</v>
      </c>
      <c r="L1369" s="6" t="str">
        <f t="shared" si="316"/>
        <v>EE2</v>
      </c>
      <c r="M1369" s="13" t="s">
        <v>256</v>
      </c>
      <c r="N1369" s="7" t="s">
        <v>4038</v>
      </c>
      <c r="O1369" s="13" t="s">
        <v>4444</v>
      </c>
      <c r="P1369" s="115" t="s">
        <v>330</v>
      </c>
      <c r="Q1369" s="8"/>
      <c r="R1369" s="2">
        <v>1</v>
      </c>
      <c r="S1369" s="9">
        <v>3500</v>
      </c>
      <c r="T1369" s="10">
        <f t="shared" si="322"/>
        <v>1750</v>
      </c>
      <c r="U1369" s="9">
        <v>50</v>
      </c>
      <c r="V1369" s="10">
        <f t="shared" si="323"/>
        <v>1700</v>
      </c>
      <c r="W1369" s="4" t="s">
        <v>122</v>
      </c>
      <c r="X1369" s="2"/>
      <c r="Y1369" s="11">
        <v>3</v>
      </c>
      <c r="Z1369" s="12">
        <f t="shared" si="317"/>
        <v>0</v>
      </c>
      <c r="AA1369" s="4" t="s">
        <v>27</v>
      </c>
      <c r="AC1369" s="176">
        <f t="shared" si="311"/>
        <v>4.5454545454545456E-2</v>
      </c>
    </row>
    <row r="1370" spans="2:29">
      <c r="B1370" s="183">
        <f t="shared" si="318"/>
        <v>42</v>
      </c>
      <c r="C1370" s="107" t="str">
        <f t="shared" si="319"/>
        <v>ATK</v>
      </c>
      <c r="D1370" s="2" t="s">
        <v>455</v>
      </c>
      <c r="E1370" s="3">
        <v>44089</v>
      </c>
      <c r="F1370" s="3">
        <v>44116</v>
      </c>
      <c r="G1370" s="108">
        <f t="shared" si="320"/>
        <v>10</v>
      </c>
      <c r="H1370" s="108" t="str">
        <f t="shared" si="321"/>
        <v>완료</v>
      </c>
      <c r="I1370" s="112" t="s">
        <v>218</v>
      </c>
      <c r="J1370" s="4" t="s">
        <v>132</v>
      </c>
      <c r="K1370" s="5" t="s">
        <v>119</v>
      </c>
      <c r="L1370" s="6" t="str">
        <f t="shared" si="316"/>
        <v>2T3</v>
      </c>
      <c r="M1370" s="13" t="s">
        <v>730</v>
      </c>
      <c r="N1370" s="7" t="s">
        <v>4445</v>
      </c>
      <c r="O1370" s="13" t="s">
        <v>4446</v>
      </c>
      <c r="P1370" s="115"/>
      <c r="Q1370" s="8"/>
      <c r="R1370" s="2">
        <v>2</v>
      </c>
      <c r="S1370" s="9">
        <v>1000</v>
      </c>
      <c r="T1370" s="10">
        <f t="shared" si="322"/>
        <v>1000</v>
      </c>
      <c r="U1370" s="9">
        <v>50</v>
      </c>
      <c r="V1370" s="10">
        <f t="shared" si="323"/>
        <v>950</v>
      </c>
      <c r="W1370" s="4" t="s">
        <v>122</v>
      </c>
      <c r="X1370" s="2"/>
      <c r="Y1370" s="11">
        <v>8</v>
      </c>
      <c r="Z1370" s="12">
        <f t="shared" si="317"/>
        <v>27</v>
      </c>
      <c r="AA1370" s="4" t="s">
        <v>27</v>
      </c>
      <c r="AC1370" s="176">
        <f t="shared" si="311"/>
        <v>4.5454545454545456E-2</v>
      </c>
    </row>
    <row r="1371" spans="2:29">
      <c r="B1371" s="183">
        <f t="shared" si="318"/>
        <v>38</v>
      </c>
      <c r="C1371" s="107" t="str">
        <f t="shared" si="319"/>
        <v>ATK</v>
      </c>
      <c r="D1371" s="2" t="s">
        <v>30</v>
      </c>
      <c r="E1371" s="3">
        <v>44076</v>
      </c>
      <c r="F1371" s="3">
        <v>44091</v>
      </c>
      <c r="G1371" s="108">
        <f t="shared" si="320"/>
        <v>9</v>
      </c>
      <c r="H1371" s="108" t="str">
        <f t="shared" si="321"/>
        <v>완료</v>
      </c>
      <c r="I1371" s="112" t="s">
        <v>218</v>
      </c>
      <c r="J1371" s="4" t="s">
        <v>115</v>
      </c>
      <c r="K1371" s="5" t="s">
        <v>138</v>
      </c>
      <c r="L1371" s="6" t="str">
        <f t="shared" si="316"/>
        <v>EE1</v>
      </c>
      <c r="M1371" s="13" t="s">
        <v>4116</v>
      </c>
      <c r="N1371" s="7" t="s">
        <v>4447</v>
      </c>
      <c r="O1371" s="13" t="s">
        <v>4450</v>
      </c>
      <c r="P1371" s="115" t="s">
        <v>4453</v>
      </c>
      <c r="Q1371" s="8"/>
      <c r="R1371" s="2">
        <v>1</v>
      </c>
      <c r="S1371" s="9">
        <v>1000</v>
      </c>
      <c r="T1371" s="10">
        <f t="shared" si="322"/>
        <v>500</v>
      </c>
      <c r="U1371" s="9">
        <v>0</v>
      </c>
      <c r="V1371" s="10">
        <f t="shared" si="323"/>
        <v>500</v>
      </c>
      <c r="W1371" s="4" t="s">
        <v>122</v>
      </c>
      <c r="X1371" s="2"/>
      <c r="Y1371" s="11">
        <v>4</v>
      </c>
      <c r="Z1371" s="12">
        <f t="shared" si="317"/>
        <v>15</v>
      </c>
      <c r="AA1371" s="4" t="s">
        <v>120</v>
      </c>
      <c r="AC1371" s="176">
        <f t="shared" si="311"/>
        <v>0</v>
      </c>
    </row>
    <row r="1372" spans="2:29">
      <c r="B1372" s="183">
        <f t="shared" si="318"/>
        <v>38</v>
      </c>
      <c r="C1372" s="107" t="str">
        <f t="shared" si="319"/>
        <v>ATK</v>
      </c>
      <c r="D1372" s="2" t="s">
        <v>44</v>
      </c>
      <c r="E1372" s="3">
        <v>44091</v>
      </c>
      <c r="F1372" s="3">
        <v>44091</v>
      </c>
      <c r="G1372" s="108">
        <f t="shared" si="320"/>
        <v>9</v>
      </c>
      <c r="H1372" s="108" t="str">
        <f t="shared" si="321"/>
        <v>완료</v>
      </c>
      <c r="I1372" s="112" t="s">
        <v>218</v>
      </c>
      <c r="J1372" s="4" t="s">
        <v>115</v>
      </c>
      <c r="K1372" s="5" t="s">
        <v>138</v>
      </c>
      <c r="L1372" s="6" t="str">
        <f t="shared" si="316"/>
        <v>EE1</v>
      </c>
      <c r="M1372" s="13" t="s">
        <v>4448</v>
      </c>
      <c r="N1372" s="7" t="s">
        <v>4449</v>
      </c>
      <c r="O1372" s="13" t="s">
        <v>4451</v>
      </c>
      <c r="P1372" s="115" t="s">
        <v>4452</v>
      </c>
      <c r="Q1372" s="8"/>
      <c r="R1372" s="2">
        <v>1</v>
      </c>
      <c r="S1372" s="9">
        <v>4000</v>
      </c>
      <c r="T1372" s="10">
        <f t="shared" si="322"/>
        <v>2000</v>
      </c>
      <c r="U1372" s="9">
        <v>0</v>
      </c>
      <c r="V1372" s="10">
        <f t="shared" si="323"/>
        <v>2000</v>
      </c>
      <c r="W1372" s="4" t="s">
        <v>122</v>
      </c>
      <c r="X1372" s="2"/>
      <c r="Y1372" s="11">
        <v>3</v>
      </c>
      <c r="Z1372" s="12">
        <f t="shared" si="317"/>
        <v>0</v>
      </c>
      <c r="AA1372" s="4" t="s">
        <v>120</v>
      </c>
      <c r="AC1372" s="176">
        <f t="shared" si="311"/>
        <v>0</v>
      </c>
    </row>
    <row r="1373" spans="2:29">
      <c r="B1373" s="183">
        <f t="shared" si="318"/>
        <v>38</v>
      </c>
      <c r="C1373" s="107" t="str">
        <f t="shared" si="319"/>
        <v>ATK</v>
      </c>
      <c r="D1373" s="2" t="s">
        <v>4454</v>
      </c>
      <c r="E1373" s="3">
        <v>44091</v>
      </c>
      <c r="F1373" s="3">
        <v>44091</v>
      </c>
      <c r="G1373" s="108">
        <f t="shared" si="320"/>
        <v>9</v>
      </c>
      <c r="H1373" s="108" t="str">
        <f t="shared" si="321"/>
        <v>완료</v>
      </c>
      <c r="I1373" s="112" t="s">
        <v>218</v>
      </c>
      <c r="J1373" s="4" t="s">
        <v>132</v>
      </c>
      <c r="K1373" s="5" t="s">
        <v>322</v>
      </c>
      <c r="L1373" s="6" t="str">
        <f t="shared" si="316"/>
        <v>3T1</v>
      </c>
      <c r="M1373" s="13" t="s">
        <v>216</v>
      </c>
      <c r="N1373" s="7" t="s">
        <v>4455</v>
      </c>
      <c r="O1373" s="13" t="s">
        <v>284</v>
      </c>
      <c r="P1373" s="115" t="s">
        <v>4456</v>
      </c>
      <c r="Q1373" s="8"/>
      <c r="R1373" s="2">
        <v>1</v>
      </c>
      <c r="S1373" s="9">
        <v>3000</v>
      </c>
      <c r="T1373" s="10">
        <f t="shared" si="322"/>
        <v>1500</v>
      </c>
      <c r="U1373" s="9">
        <v>50</v>
      </c>
      <c r="V1373" s="10">
        <f t="shared" si="323"/>
        <v>1450</v>
      </c>
      <c r="W1373" s="4" t="s">
        <v>122</v>
      </c>
      <c r="X1373" s="2"/>
      <c r="Y1373" s="11">
        <v>2</v>
      </c>
      <c r="Z1373" s="12">
        <f t="shared" si="317"/>
        <v>0</v>
      </c>
      <c r="AA1373" s="4" t="s">
        <v>212</v>
      </c>
      <c r="AC1373" s="176">
        <f t="shared" si="311"/>
        <v>4.5454545454545456E-2</v>
      </c>
    </row>
    <row r="1374" spans="2:29">
      <c r="B1374" s="183">
        <f t="shared" si="318"/>
        <v>38</v>
      </c>
      <c r="C1374" s="107" t="str">
        <f t="shared" si="319"/>
        <v>ATK</v>
      </c>
      <c r="D1374" s="2" t="s">
        <v>4457</v>
      </c>
      <c r="E1374" s="3">
        <v>44091</v>
      </c>
      <c r="F1374" s="3">
        <v>44092</v>
      </c>
      <c r="G1374" s="108">
        <f t="shared" si="320"/>
        <v>9</v>
      </c>
      <c r="H1374" s="108" t="str">
        <f t="shared" si="321"/>
        <v>완료</v>
      </c>
      <c r="I1374" s="112" t="s">
        <v>218</v>
      </c>
      <c r="J1374" s="4" t="s">
        <v>115</v>
      </c>
      <c r="K1374" s="5" t="s">
        <v>282</v>
      </c>
      <c r="L1374" s="6" t="str">
        <f t="shared" si="316"/>
        <v>EE1</v>
      </c>
      <c r="M1374" s="13" t="s">
        <v>4458</v>
      </c>
      <c r="N1374" s="7" t="s">
        <v>4459</v>
      </c>
      <c r="O1374" s="7" t="s">
        <v>4459</v>
      </c>
      <c r="P1374" s="115" t="s">
        <v>4460</v>
      </c>
      <c r="Q1374" s="8"/>
      <c r="R1374" s="2">
        <v>1</v>
      </c>
      <c r="S1374" s="9">
        <v>250</v>
      </c>
      <c r="T1374" s="10">
        <f t="shared" si="322"/>
        <v>125</v>
      </c>
      <c r="U1374" s="9">
        <v>10</v>
      </c>
      <c r="V1374" s="10">
        <f t="shared" si="323"/>
        <v>115</v>
      </c>
      <c r="W1374" s="4" t="s">
        <v>122</v>
      </c>
      <c r="X1374" s="2"/>
      <c r="Y1374" s="11">
        <v>2</v>
      </c>
      <c r="Z1374" s="12">
        <f t="shared" si="317"/>
        <v>1</v>
      </c>
      <c r="AA1374" s="4" t="s">
        <v>212</v>
      </c>
      <c r="AC1374" s="176">
        <f t="shared" si="311"/>
        <v>9.0909090909090905E-3</v>
      </c>
    </row>
    <row r="1375" spans="2:29">
      <c r="B1375" s="183">
        <f t="shared" si="318"/>
        <v>38</v>
      </c>
      <c r="C1375" s="107" t="str">
        <f t="shared" si="319"/>
        <v>ATK</v>
      </c>
      <c r="D1375" s="2" t="s">
        <v>4461</v>
      </c>
      <c r="E1375" s="3">
        <v>44091</v>
      </c>
      <c r="F1375" s="3">
        <v>44092</v>
      </c>
      <c r="G1375" s="108">
        <f t="shared" si="320"/>
        <v>9</v>
      </c>
      <c r="H1375" s="108" t="str">
        <f t="shared" si="321"/>
        <v>완료</v>
      </c>
      <c r="I1375" s="112" t="s">
        <v>218</v>
      </c>
      <c r="J1375" s="4" t="s">
        <v>121</v>
      </c>
      <c r="K1375" s="5" t="s">
        <v>136</v>
      </c>
      <c r="L1375" s="6" t="str">
        <f t="shared" si="316"/>
        <v>5T1</v>
      </c>
      <c r="M1375" s="13"/>
      <c r="N1375" s="7" t="s">
        <v>4462</v>
      </c>
      <c r="O1375" s="13" t="s">
        <v>4463</v>
      </c>
      <c r="P1375" s="115"/>
      <c r="Q1375" s="8"/>
      <c r="R1375" s="2">
        <v>3</v>
      </c>
      <c r="S1375" s="9">
        <v>400</v>
      </c>
      <c r="T1375" s="10">
        <f t="shared" si="322"/>
        <v>600</v>
      </c>
      <c r="U1375" s="9">
        <v>12</v>
      </c>
      <c r="V1375" s="10">
        <f t="shared" si="323"/>
        <v>588</v>
      </c>
      <c r="W1375" s="4" t="s">
        <v>122</v>
      </c>
      <c r="X1375" s="2"/>
      <c r="Y1375" s="11">
        <v>1</v>
      </c>
      <c r="Z1375" s="12">
        <f t="shared" si="317"/>
        <v>1</v>
      </c>
      <c r="AA1375" s="4" t="s">
        <v>117</v>
      </c>
      <c r="AC1375" s="176">
        <f t="shared" si="311"/>
        <v>1.090909090909091E-2</v>
      </c>
    </row>
    <row r="1376" spans="2:29">
      <c r="B1376" s="183">
        <f t="shared" si="318"/>
        <v>38</v>
      </c>
      <c r="C1376" s="107" t="str">
        <f t="shared" si="319"/>
        <v>ATK</v>
      </c>
      <c r="D1376" s="2" t="s">
        <v>4464</v>
      </c>
      <c r="E1376" s="3">
        <v>44089</v>
      </c>
      <c r="F1376" s="3">
        <v>44091</v>
      </c>
      <c r="G1376" s="108">
        <f t="shared" si="320"/>
        <v>9</v>
      </c>
      <c r="H1376" s="108" t="str">
        <f t="shared" si="321"/>
        <v>완료</v>
      </c>
      <c r="I1376" s="112" t="s">
        <v>4465</v>
      </c>
      <c r="J1376" s="4" t="s">
        <v>4466</v>
      </c>
      <c r="K1376" s="5" t="s">
        <v>4466</v>
      </c>
      <c r="L1376" s="6" t="str">
        <f t="shared" si="316"/>
        <v>K5</v>
      </c>
      <c r="M1376" s="13" t="s">
        <v>4467</v>
      </c>
      <c r="N1376" s="7" t="s">
        <v>4468</v>
      </c>
      <c r="O1376" s="13" t="s">
        <v>4467</v>
      </c>
      <c r="P1376" s="115" t="s">
        <v>4469</v>
      </c>
      <c r="Q1376" s="8"/>
      <c r="R1376" s="2">
        <v>1</v>
      </c>
      <c r="S1376" s="9">
        <v>3000</v>
      </c>
      <c r="T1376" s="10">
        <f t="shared" si="322"/>
        <v>1500</v>
      </c>
      <c r="U1376" s="9">
        <v>25</v>
      </c>
      <c r="V1376" s="10">
        <f t="shared" si="323"/>
        <v>1475</v>
      </c>
      <c r="W1376" s="4" t="s">
        <v>4470</v>
      </c>
      <c r="X1376" s="2"/>
      <c r="Y1376" s="11">
        <v>4</v>
      </c>
      <c r="Z1376" s="12">
        <f t="shared" si="317"/>
        <v>2</v>
      </c>
      <c r="AA1376" s="4" t="s">
        <v>4471</v>
      </c>
      <c r="AC1376" s="176">
        <f t="shared" si="311"/>
        <v>2.2727272727272728E-2</v>
      </c>
    </row>
    <row r="1377" spans="2:29">
      <c r="B1377" s="183">
        <f t="shared" si="318"/>
        <v>38</v>
      </c>
      <c r="C1377" s="107" t="str">
        <f t="shared" si="319"/>
        <v>ATK</v>
      </c>
      <c r="D1377" s="2" t="s">
        <v>323</v>
      </c>
      <c r="E1377" s="3">
        <v>44092</v>
      </c>
      <c r="F1377" s="3">
        <v>44092</v>
      </c>
      <c r="G1377" s="108">
        <f t="shared" si="320"/>
        <v>9</v>
      </c>
      <c r="H1377" s="108" t="str">
        <f t="shared" si="321"/>
        <v>Other</v>
      </c>
      <c r="I1377" s="112" t="s">
        <v>31</v>
      </c>
      <c r="J1377" s="4" t="s">
        <v>31</v>
      </c>
      <c r="K1377" s="5" t="s">
        <v>31</v>
      </c>
      <c r="L1377" s="6" t="str">
        <f t="shared" si="316"/>
        <v>Oth</v>
      </c>
      <c r="M1377" s="13" t="s">
        <v>323</v>
      </c>
      <c r="N1377" s="7" t="s">
        <v>4319</v>
      </c>
      <c r="O1377" s="13" t="s">
        <v>323</v>
      </c>
      <c r="P1377" s="115" t="s">
        <v>4318</v>
      </c>
      <c r="Q1377" s="8"/>
      <c r="R1377" s="2">
        <v>1</v>
      </c>
      <c r="S1377" s="9">
        <v>0</v>
      </c>
      <c r="T1377" s="10">
        <f t="shared" si="322"/>
        <v>0</v>
      </c>
      <c r="U1377" s="9">
        <v>0</v>
      </c>
      <c r="V1377" s="10">
        <f t="shared" si="323"/>
        <v>0</v>
      </c>
      <c r="W1377" s="4" t="s">
        <v>249</v>
      </c>
      <c r="X1377" s="2"/>
      <c r="Y1377" s="11">
        <v>8</v>
      </c>
      <c r="Z1377" s="12">
        <f t="shared" si="317"/>
        <v>0</v>
      </c>
      <c r="AA1377" s="4" t="s">
        <v>174</v>
      </c>
      <c r="AC1377" s="176">
        <f t="shared" si="311"/>
        <v>0</v>
      </c>
    </row>
    <row r="1378" spans="2:29">
      <c r="B1378" s="183">
        <f t="shared" si="318"/>
        <v>39</v>
      </c>
      <c r="C1378" s="107" t="str">
        <f t="shared" si="319"/>
        <v>ATK</v>
      </c>
      <c r="D1378" s="2" t="s">
        <v>455</v>
      </c>
      <c r="E1378" s="3">
        <v>44095</v>
      </c>
      <c r="F1378" s="3">
        <v>44095</v>
      </c>
      <c r="G1378" s="108">
        <f t="shared" si="320"/>
        <v>9</v>
      </c>
      <c r="H1378" s="108" t="str">
        <f t="shared" si="321"/>
        <v>완료</v>
      </c>
      <c r="I1378" s="112" t="s">
        <v>218</v>
      </c>
      <c r="J1378" s="4" t="s">
        <v>118</v>
      </c>
      <c r="K1378" s="5" t="s">
        <v>119</v>
      </c>
      <c r="L1378" s="6" t="str">
        <f t="shared" si="316"/>
        <v>2T3</v>
      </c>
      <c r="M1378" s="13" t="s">
        <v>456</v>
      </c>
      <c r="N1378" s="7" t="s">
        <v>4472</v>
      </c>
      <c r="O1378" s="13" t="s">
        <v>4473</v>
      </c>
      <c r="P1378" s="115"/>
      <c r="Q1378" s="8"/>
      <c r="R1378" s="2">
        <v>1</v>
      </c>
      <c r="S1378" s="9">
        <v>1200</v>
      </c>
      <c r="T1378" s="10">
        <f t="shared" si="322"/>
        <v>600</v>
      </c>
      <c r="U1378" s="9">
        <v>6</v>
      </c>
      <c r="V1378" s="10">
        <f t="shared" si="323"/>
        <v>594</v>
      </c>
      <c r="W1378" s="4" t="s">
        <v>122</v>
      </c>
      <c r="X1378" s="2"/>
      <c r="Y1378" s="11">
        <v>2</v>
      </c>
      <c r="Z1378" s="12">
        <f t="shared" si="317"/>
        <v>0</v>
      </c>
      <c r="AA1378" s="4" t="s">
        <v>117</v>
      </c>
      <c r="AC1378" s="176">
        <f t="shared" si="311"/>
        <v>5.454545454545455E-3</v>
      </c>
    </row>
    <row r="1379" spans="2:29">
      <c r="B1379" s="183">
        <f t="shared" si="318"/>
        <v>39</v>
      </c>
      <c r="C1379" s="107" t="str">
        <f t="shared" si="319"/>
        <v>ATK</v>
      </c>
      <c r="D1379" s="2" t="s">
        <v>4474</v>
      </c>
      <c r="E1379" s="3">
        <v>44092</v>
      </c>
      <c r="F1379" s="3">
        <v>44095</v>
      </c>
      <c r="G1379" s="108">
        <f t="shared" si="320"/>
        <v>9</v>
      </c>
      <c r="H1379" s="108" t="str">
        <f t="shared" si="321"/>
        <v>완료</v>
      </c>
      <c r="I1379" s="112" t="s">
        <v>218</v>
      </c>
      <c r="J1379" s="4" t="s">
        <v>118</v>
      </c>
      <c r="K1379" s="5" t="s">
        <v>134</v>
      </c>
      <c r="L1379" s="6" t="str">
        <f t="shared" si="316"/>
        <v>2T1</v>
      </c>
      <c r="M1379" s="13" t="s">
        <v>454</v>
      </c>
      <c r="N1379" s="7"/>
      <c r="O1379" s="13" t="s">
        <v>4475</v>
      </c>
      <c r="P1379" s="115"/>
      <c r="Q1379" s="8"/>
      <c r="R1379" s="2">
        <v>1</v>
      </c>
      <c r="S1379" s="9">
        <v>4800</v>
      </c>
      <c r="T1379" s="10">
        <f t="shared" si="322"/>
        <v>2400</v>
      </c>
      <c r="U1379" s="9">
        <v>35</v>
      </c>
      <c r="V1379" s="10">
        <f t="shared" si="323"/>
        <v>2365</v>
      </c>
      <c r="W1379" s="4" t="s">
        <v>122</v>
      </c>
      <c r="X1379" s="2"/>
      <c r="Y1379" s="11">
        <v>4</v>
      </c>
      <c r="Z1379" s="12">
        <f t="shared" si="317"/>
        <v>3</v>
      </c>
      <c r="AA1379" s="4" t="s">
        <v>117</v>
      </c>
      <c r="AC1379" s="176">
        <f t="shared" si="311"/>
        <v>3.1818181818181815E-2</v>
      </c>
    </row>
    <row r="1380" spans="2:29">
      <c r="B1380" s="183">
        <f t="shared" si="318"/>
        <v>39</v>
      </c>
      <c r="C1380" s="107" t="str">
        <f t="shared" si="319"/>
        <v>ATK</v>
      </c>
      <c r="D1380" s="2" t="s">
        <v>4476</v>
      </c>
      <c r="E1380" s="3">
        <v>44095</v>
      </c>
      <c r="F1380" s="3">
        <v>44095</v>
      </c>
      <c r="G1380" s="108">
        <f t="shared" si="320"/>
        <v>9</v>
      </c>
      <c r="H1380" s="108" t="str">
        <f t="shared" si="321"/>
        <v>수리불가</v>
      </c>
      <c r="I1380" s="112" t="s">
        <v>601</v>
      </c>
      <c r="J1380" s="4" t="s">
        <v>748</v>
      </c>
      <c r="K1380" s="5" t="s">
        <v>177</v>
      </c>
      <c r="L1380" s="6" t="str">
        <f t="shared" si="316"/>
        <v>Bum</v>
      </c>
      <c r="M1380" s="13"/>
      <c r="N1380" s="7" t="s">
        <v>4477</v>
      </c>
      <c r="O1380" s="13" t="s">
        <v>4478</v>
      </c>
      <c r="P1380" s="115"/>
      <c r="Q1380" s="8"/>
      <c r="R1380" s="2">
        <v>1</v>
      </c>
      <c r="S1380" s="9">
        <v>3400</v>
      </c>
      <c r="T1380" s="10">
        <f t="shared" si="322"/>
        <v>1700</v>
      </c>
      <c r="U1380" s="9">
        <v>0</v>
      </c>
      <c r="V1380" s="10">
        <f t="shared" si="323"/>
        <v>1700</v>
      </c>
      <c r="W1380" s="4" t="s">
        <v>122</v>
      </c>
      <c r="X1380" s="2"/>
      <c r="Y1380" s="11">
        <v>1</v>
      </c>
      <c r="Z1380" s="12">
        <f t="shared" si="317"/>
        <v>0</v>
      </c>
      <c r="AA1380" s="4" t="s">
        <v>117</v>
      </c>
      <c r="AC1380" s="176">
        <f t="shared" si="311"/>
        <v>0</v>
      </c>
    </row>
    <row r="1381" spans="2:29">
      <c r="B1381" s="183">
        <f t="shared" si="318"/>
        <v>39</v>
      </c>
      <c r="C1381" s="107" t="str">
        <f t="shared" si="319"/>
        <v>ATK</v>
      </c>
      <c r="D1381" s="2" t="s">
        <v>1003</v>
      </c>
      <c r="E1381" s="3">
        <v>44095</v>
      </c>
      <c r="F1381" s="3">
        <v>44095</v>
      </c>
      <c r="G1381" s="108">
        <f t="shared" si="320"/>
        <v>9</v>
      </c>
      <c r="H1381" s="108" t="str">
        <f t="shared" si="321"/>
        <v>완료</v>
      </c>
      <c r="I1381" s="112" t="s">
        <v>218</v>
      </c>
      <c r="J1381" s="4" t="s">
        <v>132</v>
      </c>
      <c r="K1381" s="5" t="s">
        <v>133</v>
      </c>
      <c r="L1381" s="6" t="str">
        <f t="shared" si="316"/>
        <v>3T3</v>
      </c>
      <c r="M1381" s="13" t="s">
        <v>4479</v>
      </c>
      <c r="N1381" s="7" t="s">
        <v>4480</v>
      </c>
      <c r="O1381" s="13" t="s">
        <v>543</v>
      </c>
      <c r="P1381" s="115" t="s">
        <v>4481</v>
      </c>
      <c r="Q1381" s="8" t="s">
        <v>4482</v>
      </c>
      <c r="R1381" s="2">
        <v>1</v>
      </c>
      <c r="S1381" s="9">
        <v>770</v>
      </c>
      <c r="T1381" s="10">
        <f t="shared" si="322"/>
        <v>385</v>
      </c>
      <c r="U1381" s="9">
        <v>1</v>
      </c>
      <c r="V1381" s="10">
        <f t="shared" si="323"/>
        <v>384</v>
      </c>
      <c r="W1381" s="4" t="s">
        <v>122</v>
      </c>
      <c r="X1381" s="2"/>
      <c r="Y1381" s="11">
        <v>3</v>
      </c>
      <c r="Z1381" s="12">
        <f t="shared" si="317"/>
        <v>0</v>
      </c>
      <c r="AA1381" s="4" t="s">
        <v>120</v>
      </c>
      <c r="AC1381" s="176">
        <f t="shared" si="311"/>
        <v>9.0909090909090909E-4</v>
      </c>
    </row>
    <row r="1382" spans="2:29">
      <c r="B1382" s="183">
        <f t="shared" si="318"/>
        <v>39</v>
      </c>
      <c r="C1382" s="107" t="str">
        <f t="shared" si="319"/>
        <v>ATK</v>
      </c>
      <c r="D1382" s="2" t="s">
        <v>652</v>
      </c>
      <c r="E1382" s="3">
        <v>44092</v>
      </c>
      <c r="F1382" s="3">
        <v>44095</v>
      </c>
      <c r="G1382" s="108">
        <f t="shared" si="320"/>
        <v>9</v>
      </c>
      <c r="H1382" s="108" t="str">
        <f t="shared" si="321"/>
        <v>완료</v>
      </c>
      <c r="I1382" s="112" t="s">
        <v>218</v>
      </c>
      <c r="J1382" s="4" t="s">
        <v>281</v>
      </c>
      <c r="K1382" s="5" t="s">
        <v>332</v>
      </c>
      <c r="L1382" s="6" t="str">
        <f t="shared" si="316"/>
        <v>EE2</v>
      </c>
      <c r="M1382" s="13" t="s">
        <v>256</v>
      </c>
      <c r="N1382" s="7" t="s">
        <v>4038</v>
      </c>
      <c r="O1382" s="13" t="s">
        <v>478</v>
      </c>
      <c r="P1382" s="115" t="s">
        <v>1544</v>
      </c>
      <c r="Q1382" s="8"/>
      <c r="R1382" s="2">
        <v>1</v>
      </c>
      <c r="S1382" s="9">
        <v>1600</v>
      </c>
      <c r="T1382" s="10">
        <f t="shared" si="322"/>
        <v>800</v>
      </c>
      <c r="U1382" s="9">
        <v>30</v>
      </c>
      <c r="V1382" s="10">
        <f t="shared" si="323"/>
        <v>770</v>
      </c>
      <c r="W1382" s="4" t="s">
        <v>122</v>
      </c>
      <c r="X1382" s="2"/>
      <c r="Y1382" s="11">
        <v>2</v>
      </c>
      <c r="Z1382" s="12">
        <f t="shared" si="317"/>
        <v>3</v>
      </c>
      <c r="AA1382" s="4" t="s">
        <v>27</v>
      </c>
      <c r="AC1382" s="176">
        <f t="shared" si="311"/>
        <v>2.7272727272727271E-2</v>
      </c>
    </row>
    <row r="1383" spans="2:29">
      <c r="B1383" s="183">
        <f t="shared" si="318"/>
        <v>39</v>
      </c>
      <c r="C1383" s="107" t="str">
        <f t="shared" si="319"/>
        <v>ATK</v>
      </c>
      <c r="D1383" s="2" t="s">
        <v>4483</v>
      </c>
      <c r="E1383" s="3">
        <v>44095</v>
      </c>
      <c r="F1383" s="3">
        <v>44095</v>
      </c>
      <c r="G1383" s="108">
        <f t="shared" si="320"/>
        <v>9</v>
      </c>
      <c r="H1383" s="108" t="str">
        <f t="shared" si="321"/>
        <v>Other</v>
      </c>
      <c r="I1383" s="112" t="s">
        <v>251</v>
      </c>
      <c r="J1383" s="4" t="s">
        <v>281</v>
      </c>
      <c r="K1383" s="5" t="s">
        <v>282</v>
      </c>
      <c r="L1383" s="6" t="str">
        <f t="shared" si="316"/>
        <v>EE1</v>
      </c>
      <c r="M1383" s="13" t="s">
        <v>226</v>
      </c>
      <c r="N1383" s="7" t="s">
        <v>4485</v>
      </c>
      <c r="O1383" s="13" t="s">
        <v>4484</v>
      </c>
      <c r="P1383" s="115"/>
      <c r="Q1383" s="8"/>
      <c r="R1383" s="2">
        <v>1</v>
      </c>
      <c r="S1383" s="9">
        <v>0</v>
      </c>
      <c r="T1383" s="10">
        <f t="shared" si="322"/>
        <v>0</v>
      </c>
      <c r="U1383" s="9">
        <v>0</v>
      </c>
      <c r="V1383" s="10">
        <f t="shared" si="323"/>
        <v>0</v>
      </c>
      <c r="W1383" s="4" t="s">
        <v>122</v>
      </c>
      <c r="X1383" s="2"/>
      <c r="Y1383" s="11">
        <v>8</v>
      </c>
      <c r="Z1383" s="12">
        <f t="shared" si="317"/>
        <v>0</v>
      </c>
      <c r="AA1383" s="4" t="s">
        <v>27</v>
      </c>
      <c r="AC1383" s="176">
        <f t="shared" si="311"/>
        <v>0</v>
      </c>
    </row>
    <row r="1384" spans="2:29">
      <c r="B1384" s="183">
        <f t="shared" si="318"/>
        <v>39</v>
      </c>
      <c r="C1384" s="107" t="str">
        <f t="shared" si="319"/>
        <v>ATK</v>
      </c>
      <c r="D1384" s="2" t="s">
        <v>4483</v>
      </c>
      <c r="E1384" s="3">
        <v>44095</v>
      </c>
      <c r="F1384" s="3">
        <v>44095</v>
      </c>
      <c r="G1384" s="108">
        <f t="shared" si="320"/>
        <v>9</v>
      </c>
      <c r="H1384" s="108" t="str">
        <f t="shared" si="321"/>
        <v>Other</v>
      </c>
      <c r="I1384" s="112" t="s">
        <v>251</v>
      </c>
      <c r="J1384" s="4" t="s">
        <v>281</v>
      </c>
      <c r="K1384" s="5" t="s">
        <v>282</v>
      </c>
      <c r="L1384" s="6" t="str">
        <f t="shared" si="316"/>
        <v>EE1</v>
      </c>
      <c r="M1384" s="13" t="s">
        <v>226</v>
      </c>
      <c r="N1384" s="7" t="s">
        <v>4485</v>
      </c>
      <c r="O1384" s="13" t="s">
        <v>4484</v>
      </c>
      <c r="P1384" s="115"/>
      <c r="Q1384" s="8"/>
      <c r="R1384" s="2">
        <v>1</v>
      </c>
      <c r="S1384" s="9">
        <v>0</v>
      </c>
      <c r="T1384" s="10">
        <f t="shared" ref="T1384:T1385" si="326">(S1384*50)/100*R1384</f>
        <v>0</v>
      </c>
      <c r="U1384" s="9">
        <v>0</v>
      </c>
      <c r="V1384" s="10">
        <f t="shared" ref="V1384:V1385" si="327">T1384-U1384</f>
        <v>0</v>
      </c>
      <c r="W1384" s="4" t="s">
        <v>122</v>
      </c>
      <c r="X1384" s="2"/>
      <c r="Y1384" s="11">
        <v>8</v>
      </c>
      <c r="Z1384" s="12">
        <f t="shared" si="317"/>
        <v>0</v>
      </c>
      <c r="AA1384" s="4" t="s">
        <v>174</v>
      </c>
      <c r="AC1384" s="176">
        <f t="shared" si="311"/>
        <v>0</v>
      </c>
    </row>
    <row r="1385" spans="2:29">
      <c r="B1385" s="183">
        <f t="shared" si="318"/>
        <v>39</v>
      </c>
      <c r="C1385" s="107" t="str">
        <f t="shared" si="319"/>
        <v>ATK</v>
      </c>
      <c r="D1385" s="2" t="s">
        <v>4483</v>
      </c>
      <c r="E1385" s="3">
        <v>44095</v>
      </c>
      <c r="F1385" s="3">
        <v>44095</v>
      </c>
      <c r="G1385" s="108">
        <f t="shared" si="320"/>
        <v>9</v>
      </c>
      <c r="H1385" s="108" t="str">
        <f t="shared" si="321"/>
        <v>Other</v>
      </c>
      <c r="I1385" s="112" t="s">
        <v>251</v>
      </c>
      <c r="J1385" s="4" t="s">
        <v>281</v>
      </c>
      <c r="K1385" s="5" t="s">
        <v>282</v>
      </c>
      <c r="L1385" s="6" t="str">
        <f t="shared" si="316"/>
        <v>EE1</v>
      </c>
      <c r="M1385" s="13" t="s">
        <v>226</v>
      </c>
      <c r="N1385" s="7" t="s">
        <v>4485</v>
      </c>
      <c r="O1385" s="13" t="s">
        <v>4484</v>
      </c>
      <c r="P1385" s="115"/>
      <c r="Q1385" s="8"/>
      <c r="R1385" s="2">
        <v>1</v>
      </c>
      <c r="S1385" s="9">
        <v>0</v>
      </c>
      <c r="T1385" s="10">
        <f t="shared" si="326"/>
        <v>0</v>
      </c>
      <c r="U1385" s="9">
        <v>0</v>
      </c>
      <c r="V1385" s="10">
        <f t="shared" si="327"/>
        <v>0</v>
      </c>
      <c r="W1385" s="4" t="s">
        <v>122</v>
      </c>
      <c r="X1385" s="2"/>
      <c r="Y1385" s="11">
        <v>2</v>
      </c>
      <c r="Z1385" s="12">
        <f t="shared" si="317"/>
        <v>0</v>
      </c>
      <c r="AA1385" s="4" t="s">
        <v>30</v>
      </c>
      <c r="AC1385" s="176">
        <f t="shared" si="311"/>
        <v>0</v>
      </c>
    </row>
    <row r="1386" spans="2:29">
      <c r="B1386" s="183">
        <f t="shared" si="318"/>
        <v>39</v>
      </c>
      <c r="C1386" s="107" t="str">
        <f t="shared" si="319"/>
        <v>ATK</v>
      </c>
      <c r="D1386" s="2" t="s">
        <v>4486</v>
      </c>
      <c r="E1386" s="3">
        <v>44095</v>
      </c>
      <c r="F1386" s="3">
        <v>44095</v>
      </c>
      <c r="G1386" s="108">
        <f t="shared" si="320"/>
        <v>9</v>
      </c>
      <c r="H1386" s="108" t="str">
        <f t="shared" si="321"/>
        <v>완료</v>
      </c>
      <c r="I1386" s="112" t="s">
        <v>218</v>
      </c>
      <c r="J1386" s="4" t="s">
        <v>132</v>
      </c>
      <c r="K1386" s="5" t="s">
        <v>322</v>
      </c>
      <c r="L1386" s="6" t="str">
        <f t="shared" si="316"/>
        <v>3T1</v>
      </c>
      <c r="M1386" s="13" t="s">
        <v>955</v>
      </c>
      <c r="N1386" s="7" t="s">
        <v>4487</v>
      </c>
      <c r="O1386" s="13" t="s">
        <v>4488</v>
      </c>
      <c r="P1386" s="115" t="s">
        <v>4489</v>
      </c>
      <c r="Q1386" s="8"/>
      <c r="R1386" s="2">
        <v>1</v>
      </c>
      <c r="S1386" s="9">
        <v>2000</v>
      </c>
      <c r="T1386" s="10">
        <f t="shared" si="322"/>
        <v>1000</v>
      </c>
      <c r="U1386" s="9">
        <v>5</v>
      </c>
      <c r="V1386" s="10">
        <f t="shared" si="323"/>
        <v>995</v>
      </c>
      <c r="W1386" s="4" t="s">
        <v>122</v>
      </c>
      <c r="X1386" s="2"/>
      <c r="Y1386" s="11">
        <v>4</v>
      </c>
      <c r="Z1386" s="12">
        <f t="shared" si="317"/>
        <v>0</v>
      </c>
      <c r="AA1386" s="4" t="s">
        <v>212</v>
      </c>
      <c r="AC1386" s="176">
        <f t="shared" si="311"/>
        <v>4.5454545454545452E-3</v>
      </c>
    </row>
    <row r="1387" spans="2:29">
      <c r="B1387" s="183">
        <f t="shared" si="318"/>
        <v>39</v>
      </c>
      <c r="C1387" s="107" t="str">
        <f t="shared" si="319"/>
        <v>ATK</v>
      </c>
      <c r="D1387" s="2" t="s">
        <v>463</v>
      </c>
      <c r="E1387" s="3">
        <v>44085</v>
      </c>
      <c r="F1387" s="3">
        <v>44096</v>
      </c>
      <c r="G1387" s="108">
        <f t="shared" si="320"/>
        <v>9</v>
      </c>
      <c r="H1387" s="108" t="str">
        <f t="shared" si="321"/>
        <v>완료</v>
      </c>
      <c r="I1387" s="112" t="s">
        <v>218</v>
      </c>
      <c r="J1387" s="4" t="s">
        <v>121</v>
      </c>
      <c r="K1387" s="5" t="s">
        <v>136</v>
      </c>
      <c r="L1387" s="6" t="str">
        <f t="shared" si="316"/>
        <v>5T1</v>
      </c>
      <c r="M1387" s="13" t="s">
        <v>242</v>
      </c>
      <c r="N1387" s="7" t="s">
        <v>4490</v>
      </c>
      <c r="O1387" s="7" t="s">
        <v>4490</v>
      </c>
      <c r="P1387" s="115"/>
      <c r="Q1387" s="8"/>
      <c r="R1387" s="2">
        <v>1</v>
      </c>
      <c r="S1387" s="9">
        <v>500</v>
      </c>
      <c r="T1387" s="10">
        <f t="shared" si="322"/>
        <v>250</v>
      </c>
      <c r="U1387" s="9">
        <v>10</v>
      </c>
      <c r="V1387" s="10">
        <f t="shared" si="323"/>
        <v>240</v>
      </c>
      <c r="W1387" s="4" t="s">
        <v>122</v>
      </c>
      <c r="X1387" s="2"/>
      <c r="Y1387" s="11">
        <v>2</v>
      </c>
      <c r="Z1387" s="12">
        <f t="shared" si="317"/>
        <v>11</v>
      </c>
      <c r="AA1387" s="4" t="s">
        <v>27</v>
      </c>
      <c r="AC1387" s="176">
        <f t="shared" si="311"/>
        <v>9.0909090909090905E-3</v>
      </c>
    </row>
    <row r="1388" spans="2:29">
      <c r="B1388" s="183">
        <f t="shared" si="318"/>
        <v>39</v>
      </c>
      <c r="C1388" s="107" t="str">
        <f t="shared" si="319"/>
        <v>ATK</v>
      </c>
      <c r="D1388" s="2" t="s">
        <v>837</v>
      </c>
      <c r="E1388" s="3">
        <v>44096</v>
      </c>
      <c r="F1388" s="3">
        <v>44096</v>
      </c>
      <c r="G1388" s="108">
        <f t="shared" si="320"/>
        <v>9</v>
      </c>
      <c r="H1388" s="108" t="str">
        <f t="shared" si="321"/>
        <v>완료</v>
      </c>
      <c r="I1388" s="112" t="s">
        <v>218</v>
      </c>
      <c r="J1388" s="4" t="s">
        <v>281</v>
      </c>
      <c r="K1388" s="5" t="s">
        <v>332</v>
      </c>
      <c r="L1388" s="6" t="str">
        <f t="shared" si="316"/>
        <v>EE2</v>
      </c>
      <c r="M1388" s="13" t="s">
        <v>256</v>
      </c>
      <c r="N1388" s="7" t="s">
        <v>4038</v>
      </c>
      <c r="O1388" s="13" t="s">
        <v>2698</v>
      </c>
      <c r="P1388" s="115" t="s">
        <v>4491</v>
      </c>
      <c r="Q1388" s="8"/>
      <c r="R1388" s="2">
        <v>1</v>
      </c>
      <c r="S1388" s="9">
        <v>3500</v>
      </c>
      <c r="T1388" s="10">
        <f t="shared" si="322"/>
        <v>1750</v>
      </c>
      <c r="U1388" s="9">
        <v>0</v>
      </c>
      <c r="V1388" s="10">
        <f t="shared" si="323"/>
        <v>1750</v>
      </c>
      <c r="W1388" s="4" t="s">
        <v>122</v>
      </c>
      <c r="X1388" s="2"/>
      <c r="Y1388" s="11">
        <v>2</v>
      </c>
      <c r="Z1388" s="12">
        <f t="shared" si="317"/>
        <v>0</v>
      </c>
      <c r="AA1388" s="4" t="s">
        <v>27</v>
      </c>
      <c r="AC1388" s="176">
        <f t="shared" si="311"/>
        <v>0</v>
      </c>
    </row>
    <row r="1389" spans="2:29">
      <c r="B1389" s="183">
        <f t="shared" si="318"/>
        <v>39</v>
      </c>
      <c r="C1389" s="107" t="str">
        <f t="shared" si="319"/>
        <v>ATK</v>
      </c>
      <c r="D1389" s="2" t="s">
        <v>837</v>
      </c>
      <c r="E1389" s="3">
        <v>44096</v>
      </c>
      <c r="F1389" s="3">
        <v>44096</v>
      </c>
      <c r="G1389" s="108">
        <f t="shared" si="320"/>
        <v>9</v>
      </c>
      <c r="H1389" s="108" t="str">
        <f t="shared" si="321"/>
        <v>완료</v>
      </c>
      <c r="I1389" s="112" t="s">
        <v>218</v>
      </c>
      <c r="J1389" s="4" t="s">
        <v>281</v>
      </c>
      <c r="K1389" s="5" t="s">
        <v>332</v>
      </c>
      <c r="L1389" s="6" t="str">
        <f t="shared" si="316"/>
        <v>EE2</v>
      </c>
      <c r="M1389" s="13" t="s">
        <v>256</v>
      </c>
      <c r="N1389" s="7" t="s">
        <v>4038</v>
      </c>
      <c r="O1389" s="13" t="s">
        <v>478</v>
      </c>
      <c r="P1389" s="115" t="s">
        <v>1544</v>
      </c>
      <c r="Q1389" s="8"/>
      <c r="R1389" s="2">
        <v>1</v>
      </c>
      <c r="S1389" s="9">
        <v>1600</v>
      </c>
      <c r="T1389" s="10">
        <f t="shared" si="322"/>
        <v>800</v>
      </c>
      <c r="U1389" s="9">
        <v>20</v>
      </c>
      <c r="V1389" s="10">
        <f t="shared" si="323"/>
        <v>780</v>
      </c>
      <c r="W1389" s="4" t="s">
        <v>122</v>
      </c>
      <c r="X1389" s="2"/>
      <c r="Y1389" s="11">
        <v>2</v>
      </c>
      <c r="Z1389" s="12">
        <f t="shared" si="317"/>
        <v>0</v>
      </c>
      <c r="AA1389" s="4" t="s">
        <v>27</v>
      </c>
      <c r="AC1389" s="176">
        <f t="shared" si="311"/>
        <v>1.8181818181818181E-2</v>
      </c>
    </row>
    <row r="1390" spans="2:29">
      <c r="B1390" s="183">
        <f t="shared" si="318"/>
        <v>39</v>
      </c>
      <c r="C1390" s="107" t="str">
        <f t="shared" si="319"/>
        <v>ATK</v>
      </c>
      <c r="D1390" s="2" t="s">
        <v>357</v>
      </c>
      <c r="E1390" s="3">
        <v>44096</v>
      </c>
      <c r="F1390" s="3">
        <v>44096</v>
      </c>
      <c r="G1390" s="108">
        <f t="shared" si="320"/>
        <v>9</v>
      </c>
      <c r="H1390" s="108" t="str">
        <f t="shared" si="321"/>
        <v>완료</v>
      </c>
      <c r="I1390" s="112" t="s">
        <v>218</v>
      </c>
      <c r="J1390" s="4" t="s">
        <v>281</v>
      </c>
      <c r="K1390" s="5" t="s">
        <v>282</v>
      </c>
      <c r="L1390" s="6" t="str">
        <f t="shared" si="316"/>
        <v>EE1</v>
      </c>
      <c r="M1390" s="13" t="s">
        <v>216</v>
      </c>
      <c r="N1390" s="7" t="s">
        <v>314</v>
      </c>
      <c r="O1390" s="13" t="s">
        <v>230</v>
      </c>
      <c r="P1390" s="115" t="s">
        <v>1617</v>
      </c>
      <c r="Q1390" s="8"/>
      <c r="R1390" s="2">
        <v>1</v>
      </c>
      <c r="S1390" s="9">
        <v>1500</v>
      </c>
      <c r="T1390" s="10">
        <f t="shared" si="322"/>
        <v>750</v>
      </c>
      <c r="U1390" s="9">
        <v>300</v>
      </c>
      <c r="V1390" s="10">
        <f t="shared" si="323"/>
        <v>450</v>
      </c>
      <c r="W1390" s="4" t="s">
        <v>122</v>
      </c>
      <c r="X1390" s="2"/>
      <c r="Y1390" s="11">
        <v>2</v>
      </c>
      <c r="Z1390" s="12">
        <f t="shared" si="317"/>
        <v>0</v>
      </c>
      <c r="AA1390" s="4" t="s">
        <v>27</v>
      </c>
      <c r="AC1390" s="176">
        <f t="shared" si="311"/>
        <v>0.27272727272727271</v>
      </c>
    </row>
    <row r="1391" spans="2:29" ht="24">
      <c r="B1391" s="183">
        <f t="shared" si="318"/>
        <v>39</v>
      </c>
      <c r="C1391" s="107" t="str">
        <f t="shared" si="319"/>
        <v>ATK</v>
      </c>
      <c r="D1391" s="2" t="s">
        <v>4493</v>
      </c>
      <c r="E1391" s="3">
        <v>44096</v>
      </c>
      <c r="F1391" s="3">
        <v>44096</v>
      </c>
      <c r="G1391" s="108">
        <f t="shared" si="320"/>
        <v>9</v>
      </c>
      <c r="H1391" s="108" t="str">
        <f t="shared" si="321"/>
        <v>완료</v>
      </c>
      <c r="I1391" s="112" t="s">
        <v>218</v>
      </c>
      <c r="J1391" s="4" t="s">
        <v>132</v>
      </c>
      <c r="K1391" s="5" t="s">
        <v>134</v>
      </c>
      <c r="L1391" s="6" t="str">
        <f t="shared" si="316"/>
        <v>2T1</v>
      </c>
      <c r="M1391" s="13" t="s">
        <v>270</v>
      </c>
      <c r="N1391" s="7" t="s">
        <v>4181</v>
      </c>
      <c r="O1391" s="13" t="s">
        <v>270</v>
      </c>
      <c r="P1391" s="115" t="s">
        <v>4494</v>
      </c>
      <c r="Q1391" s="8" t="s">
        <v>4495</v>
      </c>
      <c r="R1391" s="2">
        <v>1</v>
      </c>
      <c r="S1391" s="9">
        <v>910</v>
      </c>
      <c r="T1391" s="10">
        <f t="shared" si="322"/>
        <v>455</v>
      </c>
      <c r="U1391" s="9">
        <v>25</v>
      </c>
      <c r="V1391" s="10">
        <f t="shared" si="323"/>
        <v>430</v>
      </c>
      <c r="W1391" s="4" t="s">
        <v>122</v>
      </c>
      <c r="X1391" s="2"/>
      <c r="Y1391" s="11">
        <v>4</v>
      </c>
      <c r="Z1391" s="12">
        <f t="shared" si="317"/>
        <v>0</v>
      </c>
      <c r="AA1391" s="4" t="s">
        <v>120</v>
      </c>
      <c r="AC1391" s="176">
        <f t="shared" si="311"/>
        <v>2.2727272727272728E-2</v>
      </c>
    </row>
    <row r="1392" spans="2:29">
      <c r="B1392" s="183">
        <f t="shared" si="318"/>
        <v>39</v>
      </c>
      <c r="C1392" s="107" t="str">
        <f t="shared" si="319"/>
        <v>ATK</v>
      </c>
      <c r="D1392" s="2" t="s">
        <v>652</v>
      </c>
      <c r="E1392" s="3">
        <v>44096</v>
      </c>
      <c r="F1392" s="3">
        <v>44097</v>
      </c>
      <c r="G1392" s="108">
        <f t="shared" si="320"/>
        <v>9</v>
      </c>
      <c r="H1392" s="108" t="str">
        <f t="shared" si="321"/>
        <v>완료</v>
      </c>
      <c r="I1392" s="112" t="s">
        <v>218</v>
      </c>
      <c r="J1392" s="4" t="s">
        <v>281</v>
      </c>
      <c r="K1392" s="5" t="s">
        <v>332</v>
      </c>
      <c r="L1392" s="6" t="str">
        <f t="shared" si="316"/>
        <v>EE2</v>
      </c>
      <c r="M1392" s="13" t="s">
        <v>256</v>
      </c>
      <c r="N1392" s="7" t="s">
        <v>4038</v>
      </c>
      <c r="O1392" s="13" t="s">
        <v>478</v>
      </c>
      <c r="P1392" s="115" t="s">
        <v>4496</v>
      </c>
      <c r="Q1392" s="8"/>
      <c r="R1392" s="2">
        <v>1</v>
      </c>
      <c r="S1392" s="9">
        <v>1600</v>
      </c>
      <c r="T1392" s="10">
        <f t="shared" ref="T1392" si="328">(S1392*50)/100*R1392</f>
        <v>800</v>
      </c>
      <c r="U1392" s="9">
        <v>50</v>
      </c>
      <c r="V1392" s="10">
        <f t="shared" ref="V1392" si="329">T1392-U1392</f>
        <v>750</v>
      </c>
      <c r="W1392" s="4" t="s">
        <v>122</v>
      </c>
      <c r="X1392" s="2"/>
      <c r="Y1392" s="11">
        <v>4</v>
      </c>
      <c r="Z1392" s="12">
        <f t="shared" si="317"/>
        <v>1</v>
      </c>
      <c r="AA1392" s="4" t="s">
        <v>27</v>
      </c>
      <c r="AC1392" s="176">
        <f t="shared" si="311"/>
        <v>4.5454545454545456E-2</v>
      </c>
    </row>
    <row r="1393" spans="2:29">
      <c r="B1393" s="183">
        <f t="shared" si="318"/>
        <v>39</v>
      </c>
      <c r="C1393" s="107" t="str">
        <f t="shared" si="319"/>
        <v>ATK</v>
      </c>
      <c r="D1393" s="2" t="s">
        <v>752</v>
      </c>
      <c r="E1393" s="3">
        <v>44097</v>
      </c>
      <c r="F1393" s="3">
        <v>44097</v>
      </c>
      <c r="G1393" s="108">
        <f t="shared" si="320"/>
        <v>9</v>
      </c>
      <c r="H1393" s="108" t="str">
        <f t="shared" si="321"/>
        <v>완료</v>
      </c>
      <c r="I1393" s="112" t="s">
        <v>218</v>
      </c>
      <c r="J1393" s="4" t="s">
        <v>121</v>
      </c>
      <c r="K1393" s="5" t="s">
        <v>136</v>
      </c>
      <c r="L1393" s="6" t="str">
        <f t="shared" si="316"/>
        <v>5T1</v>
      </c>
      <c r="M1393" s="13" t="s">
        <v>226</v>
      </c>
      <c r="N1393" s="7"/>
      <c r="O1393" s="13" t="s">
        <v>4497</v>
      </c>
      <c r="P1393" s="115" t="s">
        <v>2822</v>
      </c>
      <c r="Q1393" s="8"/>
      <c r="R1393" s="2">
        <v>1</v>
      </c>
      <c r="S1393" s="9">
        <v>400</v>
      </c>
      <c r="T1393" s="10">
        <f t="shared" si="322"/>
        <v>200</v>
      </c>
      <c r="U1393" s="9">
        <v>0</v>
      </c>
      <c r="V1393" s="10">
        <f t="shared" si="323"/>
        <v>200</v>
      </c>
      <c r="W1393" s="4" t="s">
        <v>122</v>
      </c>
      <c r="X1393" s="2"/>
      <c r="Y1393" s="11">
        <v>1</v>
      </c>
      <c r="Z1393" s="12">
        <f t="shared" si="317"/>
        <v>0</v>
      </c>
      <c r="AA1393" s="4" t="s">
        <v>117</v>
      </c>
      <c r="AC1393" s="176">
        <f t="shared" si="311"/>
        <v>0</v>
      </c>
    </row>
    <row r="1394" spans="2:29">
      <c r="B1394" s="183">
        <f t="shared" si="318"/>
        <v>39</v>
      </c>
      <c r="C1394" s="107" t="str">
        <f t="shared" si="319"/>
        <v>ATK</v>
      </c>
      <c r="D1394" s="2" t="s">
        <v>4498</v>
      </c>
      <c r="E1394" s="3">
        <v>44097</v>
      </c>
      <c r="F1394" s="3">
        <v>44097</v>
      </c>
      <c r="G1394" s="108">
        <f t="shared" si="320"/>
        <v>9</v>
      </c>
      <c r="H1394" s="108" t="str">
        <f t="shared" si="321"/>
        <v>완료</v>
      </c>
      <c r="I1394" s="112" t="s">
        <v>218</v>
      </c>
      <c r="J1394" s="4" t="s">
        <v>121</v>
      </c>
      <c r="K1394" s="5" t="s">
        <v>136</v>
      </c>
      <c r="L1394" s="6" t="str">
        <f t="shared" si="316"/>
        <v>5T1</v>
      </c>
      <c r="M1394" s="13" t="s">
        <v>4065</v>
      </c>
      <c r="N1394" s="7" t="s">
        <v>3511</v>
      </c>
      <c r="O1394" s="13" t="s">
        <v>287</v>
      </c>
      <c r="P1394" s="115"/>
      <c r="Q1394" s="8"/>
      <c r="R1394" s="2">
        <v>1</v>
      </c>
      <c r="S1394" s="9">
        <v>1200</v>
      </c>
      <c r="T1394" s="10">
        <f t="shared" si="322"/>
        <v>600</v>
      </c>
      <c r="U1394" s="9">
        <v>5</v>
      </c>
      <c r="V1394" s="10">
        <f t="shared" si="323"/>
        <v>595</v>
      </c>
      <c r="W1394" s="4" t="s">
        <v>122</v>
      </c>
      <c r="X1394" s="2"/>
      <c r="Y1394" s="11">
        <v>1</v>
      </c>
      <c r="Z1394" s="12">
        <f t="shared" si="317"/>
        <v>0</v>
      </c>
      <c r="AA1394" s="4" t="s">
        <v>117</v>
      </c>
      <c r="AC1394" s="176">
        <f t="shared" ref="AC1394:AC1457" si="330">U1394/1100</f>
        <v>4.5454545454545452E-3</v>
      </c>
    </row>
    <row r="1395" spans="2:29">
      <c r="B1395" s="183">
        <f t="shared" si="318"/>
        <v>45</v>
      </c>
      <c r="C1395" s="107" t="str">
        <f t="shared" si="319"/>
        <v>ATK</v>
      </c>
      <c r="D1395" s="2" t="s">
        <v>4499</v>
      </c>
      <c r="E1395" s="3">
        <v>44097</v>
      </c>
      <c r="F1395" s="3">
        <v>44139</v>
      </c>
      <c r="G1395" s="108">
        <f t="shared" si="320"/>
        <v>11</v>
      </c>
      <c r="H1395" s="108" t="str">
        <f t="shared" si="321"/>
        <v>완료</v>
      </c>
      <c r="I1395" s="112" t="s">
        <v>218</v>
      </c>
      <c r="J1395" s="4" t="s">
        <v>132</v>
      </c>
      <c r="K1395" s="5" t="s">
        <v>143</v>
      </c>
      <c r="L1395" s="6" t="str">
        <f t="shared" si="316"/>
        <v>3T4</v>
      </c>
      <c r="M1395" s="13" t="s">
        <v>4500</v>
      </c>
      <c r="N1395" s="7" t="s">
        <v>4501</v>
      </c>
      <c r="O1395" s="13" t="s">
        <v>4192</v>
      </c>
      <c r="P1395" s="115" t="s">
        <v>1737</v>
      </c>
      <c r="Q1395" s="8"/>
      <c r="R1395" s="2">
        <v>1</v>
      </c>
      <c r="S1395" s="9">
        <v>1700</v>
      </c>
      <c r="T1395" s="10">
        <f t="shared" si="322"/>
        <v>850</v>
      </c>
      <c r="U1395" s="9">
        <v>80</v>
      </c>
      <c r="V1395" s="10">
        <f t="shared" si="323"/>
        <v>770</v>
      </c>
      <c r="W1395" s="4" t="s">
        <v>122</v>
      </c>
      <c r="X1395" s="2"/>
      <c r="Y1395" s="11">
        <v>2</v>
      </c>
      <c r="Z1395" s="12">
        <f t="shared" si="317"/>
        <v>42</v>
      </c>
      <c r="AA1395" s="4" t="s">
        <v>117</v>
      </c>
      <c r="AC1395" s="176">
        <f t="shared" si="330"/>
        <v>7.2727272727272724E-2</v>
      </c>
    </row>
    <row r="1396" spans="2:29">
      <c r="B1396" s="183">
        <f t="shared" si="318"/>
        <v>39</v>
      </c>
      <c r="C1396" s="107" t="str">
        <f t="shared" si="319"/>
        <v>ATK</v>
      </c>
      <c r="D1396" s="2" t="s">
        <v>174</v>
      </c>
      <c r="E1396" s="3">
        <v>44097</v>
      </c>
      <c r="F1396" s="3">
        <v>44097</v>
      </c>
      <c r="G1396" s="108">
        <f t="shared" si="320"/>
        <v>9</v>
      </c>
      <c r="H1396" s="108" t="str">
        <f t="shared" si="321"/>
        <v>완료</v>
      </c>
      <c r="I1396" s="112" t="s">
        <v>218</v>
      </c>
      <c r="J1396" s="4" t="s">
        <v>115</v>
      </c>
      <c r="K1396" s="5" t="s">
        <v>138</v>
      </c>
      <c r="L1396" s="6" t="str">
        <f t="shared" si="316"/>
        <v>EE1</v>
      </c>
      <c r="M1396" s="13" t="s">
        <v>4503</v>
      </c>
      <c r="N1396" s="7" t="s">
        <v>4502</v>
      </c>
      <c r="O1396" s="13" t="s">
        <v>4504</v>
      </c>
      <c r="P1396" s="115" t="s">
        <v>4505</v>
      </c>
      <c r="Q1396" s="8" t="s">
        <v>4506</v>
      </c>
      <c r="R1396" s="2">
        <v>1</v>
      </c>
      <c r="S1396" s="9">
        <v>200</v>
      </c>
      <c r="T1396" s="10">
        <f t="shared" si="322"/>
        <v>100</v>
      </c>
      <c r="U1396" s="9">
        <v>0</v>
      </c>
      <c r="V1396" s="10">
        <f t="shared" si="323"/>
        <v>100</v>
      </c>
      <c r="W1396" s="4" t="s">
        <v>122</v>
      </c>
      <c r="X1396" s="2"/>
      <c r="Y1396" s="11">
        <v>2</v>
      </c>
      <c r="Z1396" s="12">
        <f t="shared" si="317"/>
        <v>0</v>
      </c>
      <c r="AA1396" s="4" t="s">
        <v>120</v>
      </c>
      <c r="AC1396" s="176">
        <f t="shared" si="330"/>
        <v>0</v>
      </c>
    </row>
    <row r="1397" spans="2:29">
      <c r="B1397" s="183">
        <f t="shared" si="318"/>
        <v>39</v>
      </c>
      <c r="C1397" s="107" t="str">
        <f t="shared" si="319"/>
        <v>ATK</v>
      </c>
      <c r="D1397" s="2" t="s">
        <v>4507</v>
      </c>
      <c r="E1397" s="3">
        <v>44097</v>
      </c>
      <c r="F1397" s="3">
        <v>44097</v>
      </c>
      <c r="G1397" s="108">
        <f t="shared" si="320"/>
        <v>9</v>
      </c>
      <c r="H1397" s="108" t="str">
        <f t="shared" si="321"/>
        <v>완료</v>
      </c>
      <c r="I1397" s="112" t="s">
        <v>218</v>
      </c>
      <c r="J1397" s="4" t="s">
        <v>127</v>
      </c>
      <c r="K1397" s="5" t="s">
        <v>135</v>
      </c>
      <c r="L1397" s="6" t="str">
        <f t="shared" si="316"/>
        <v>1T3</v>
      </c>
      <c r="M1397" s="13" t="s">
        <v>256</v>
      </c>
      <c r="N1397" s="7" t="s">
        <v>4038</v>
      </c>
      <c r="O1397" s="13" t="s">
        <v>2763</v>
      </c>
      <c r="P1397" s="115"/>
      <c r="Q1397" s="8"/>
      <c r="R1397" s="2">
        <v>1</v>
      </c>
      <c r="S1397" s="9">
        <v>500</v>
      </c>
      <c r="T1397" s="10">
        <f t="shared" si="322"/>
        <v>250</v>
      </c>
      <c r="U1397" s="9">
        <v>100</v>
      </c>
      <c r="V1397" s="10">
        <f t="shared" si="323"/>
        <v>150</v>
      </c>
      <c r="W1397" s="4" t="s">
        <v>122</v>
      </c>
      <c r="X1397" s="2"/>
      <c r="Y1397" s="11">
        <v>1</v>
      </c>
      <c r="Z1397" s="12">
        <f t="shared" si="317"/>
        <v>0</v>
      </c>
      <c r="AA1397" s="4" t="s">
        <v>117</v>
      </c>
      <c r="AC1397" s="176">
        <f t="shared" si="330"/>
        <v>9.0909090909090912E-2</v>
      </c>
    </row>
    <row r="1398" spans="2:29">
      <c r="B1398" s="183">
        <f t="shared" si="318"/>
        <v>39</v>
      </c>
      <c r="C1398" s="107" t="str">
        <f t="shared" si="319"/>
        <v>ATK</v>
      </c>
      <c r="D1398" s="2" t="s">
        <v>4508</v>
      </c>
      <c r="E1398" s="3">
        <v>44095</v>
      </c>
      <c r="F1398" s="3">
        <v>44097</v>
      </c>
      <c r="G1398" s="108">
        <f t="shared" si="320"/>
        <v>9</v>
      </c>
      <c r="H1398" s="108" t="str">
        <f t="shared" si="321"/>
        <v>완료</v>
      </c>
      <c r="I1398" s="112" t="s">
        <v>218</v>
      </c>
      <c r="J1398" s="4" t="s">
        <v>118</v>
      </c>
      <c r="K1398" s="5" t="s">
        <v>135</v>
      </c>
      <c r="L1398" s="6" t="str">
        <f t="shared" si="316"/>
        <v>1T3</v>
      </c>
      <c r="M1398" s="13" t="s">
        <v>4509</v>
      </c>
      <c r="N1398" s="7" t="s">
        <v>4510</v>
      </c>
      <c r="O1398" s="13" t="s">
        <v>4511</v>
      </c>
      <c r="P1398" s="115" t="s">
        <v>4512</v>
      </c>
      <c r="Q1398" s="8"/>
      <c r="R1398" s="2">
        <v>1</v>
      </c>
      <c r="S1398" s="9">
        <v>1500</v>
      </c>
      <c r="T1398" s="10">
        <f t="shared" si="322"/>
        <v>750</v>
      </c>
      <c r="U1398" s="9">
        <v>10</v>
      </c>
      <c r="V1398" s="10">
        <f t="shared" si="323"/>
        <v>740</v>
      </c>
      <c r="W1398" s="4" t="s">
        <v>122</v>
      </c>
      <c r="X1398" s="2"/>
      <c r="Y1398" s="11">
        <v>6</v>
      </c>
      <c r="Z1398" s="12">
        <f t="shared" si="317"/>
        <v>2</v>
      </c>
      <c r="AA1398" s="4" t="s">
        <v>212</v>
      </c>
      <c r="AC1398" s="176">
        <f t="shared" si="330"/>
        <v>9.0909090909090905E-3</v>
      </c>
    </row>
    <row r="1399" spans="2:29">
      <c r="B1399" s="183">
        <f t="shared" si="318"/>
        <v>39</v>
      </c>
      <c r="C1399" s="107" t="str">
        <f t="shared" si="319"/>
        <v>ATK</v>
      </c>
      <c r="D1399" s="2" t="s">
        <v>1693</v>
      </c>
      <c r="E1399" s="3">
        <v>44098</v>
      </c>
      <c r="F1399" s="3">
        <v>44098</v>
      </c>
      <c r="G1399" s="108">
        <f t="shared" si="320"/>
        <v>9</v>
      </c>
      <c r="H1399" s="108" t="str">
        <f t="shared" si="321"/>
        <v>완료</v>
      </c>
      <c r="I1399" s="112" t="s">
        <v>218</v>
      </c>
      <c r="J1399" s="4" t="s">
        <v>127</v>
      </c>
      <c r="K1399" s="5" t="s">
        <v>131</v>
      </c>
      <c r="L1399" s="6" t="str">
        <f t="shared" si="316"/>
        <v>1T4</v>
      </c>
      <c r="M1399" s="196" t="s">
        <v>4516</v>
      </c>
      <c r="N1399" s="7" t="s">
        <v>4513</v>
      </c>
      <c r="O1399" s="13" t="s">
        <v>4514</v>
      </c>
      <c r="P1399" s="115" t="s">
        <v>4515</v>
      </c>
      <c r="Q1399" s="8"/>
      <c r="R1399" s="2">
        <v>1</v>
      </c>
      <c r="S1399" s="9">
        <v>500</v>
      </c>
      <c r="T1399" s="10">
        <f t="shared" si="322"/>
        <v>250</v>
      </c>
      <c r="U1399" s="9">
        <v>0</v>
      </c>
      <c r="V1399" s="10">
        <f t="shared" si="323"/>
        <v>250</v>
      </c>
      <c r="W1399" s="4" t="s">
        <v>122</v>
      </c>
      <c r="X1399" s="2"/>
      <c r="Y1399" s="11">
        <v>3</v>
      </c>
      <c r="Z1399" s="12">
        <f t="shared" si="317"/>
        <v>0</v>
      </c>
      <c r="AA1399" s="4" t="s">
        <v>120</v>
      </c>
      <c r="AC1399" s="176">
        <f t="shared" si="330"/>
        <v>0</v>
      </c>
    </row>
    <row r="1400" spans="2:29">
      <c r="B1400" s="183">
        <f t="shared" si="318"/>
        <v>39</v>
      </c>
      <c r="C1400" s="107" t="str">
        <f t="shared" si="319"/>
        <v>ATK</v>
      </c>
      <c r="D1400" s="2" t="s">
        <v>4483</v>
      </c>
      <c r="E1400" s="3">
        <v>44097</v>
      </c>
      <c r="F1400" s="3">
        <v>44097</v>
      </c>
      <c r="G1400" s="108">
        <f t="shared" si="320"/>
        <v>9</v>
      </c>
      <c r="H1400" s="108" t="str">
        <f t="shared" si="321"/>
        <v>Other</v>
      </c>
      <c r="I1400" s="112" t="s">
        <v>251</v>
      </c>
      <c r="J1400" s="4" t="s">
        <v>281</v>
      </c>
      <c r="K1400" s="5" t="s">
        <v>282</v>
      </c>
      <c r="L1400" s="6" t="str">
        <f t="shared" si="316"/>
        <v>EE1</v>
      </c>
      <c r="M1400" s="13" t="s">
        <v>226</v>
      </c>
      <c r="N1400" s="7" t="s">
        <v>4485</v>
      </c>
      <c r="O1400" s="13" t="s">
        <v>4484</v>
      </c>
      <c r="P1400" s="115"/>
      <c r="Q1400" s="8"/>
      <c r="R1400" s="2">
        <v>1</v>
      </c>
      <c r="S1400" s="9">
        <v>0</v>
      </c>
      <c r="T1400" s="10">
        <f t="shared" ref="T1400:T1401" si="331">(S1400*50)/100*R1400</f>
        <v>0</v>
      </c>
      <c r="U1400" s="9">
        <v>0</v>
      </c>
      <c r="V1400" s="10">
        <f t="shared" ref="V1400:V1401" si="332">T1400-U1400</f>
        <v>0</v>
      </c>
      <c r="W1400" s="4" t="s">
        <v>122</v>
      </c>
      <c r="X1400" s="2"/>
      <c r="Y1400" s="11">
        <v>6</v>
      </c>
      <c r="Z1400" s="12">
        <f t="shared" si="317"/>
        <v>0</v>
      </c>
      <c r="AA1400" s="4" t="s">
        <v>27</v>
      </c>
      <c r="AC1400" s="176">
        <f t="shared" si="330"/>
        <v>0</v>
      </c>
    </row>
    <row r="1401" spans="2:29">
      <c r="B1401" s="183">
        <f t="shared" si="318"/>
        <v>39</v>
      </c>
      <c r="C1401" s="107" t="str">
        <f t="shared" si="319"/>
        <v>ATK</v>
      </c>
      <c r="D1401" s="2" t="s">
        <v>4483</v>
      </c>
      <c r="E1401" s="3">
        <v>44097</v>
      </c>
      <c r="F1401" s="3">
        <v>44097</v>
      </c>
      <c r="G1401" s="108">
        <f t="shared" si="320"/>
        <v>9</v>
      </c>
      <c r="H1401" s="108" t="str">
        <f t="shared" si="321"/>
        <v>Other</v>
      </c>
      <c r="I1401" s="112" t="s">
        <v>251</v>
      </c>
      <c r="J1401" s="4" t="s">
        <v>281</v>
      </c>
      <c r="K1401" s="5" t="s">
        <v>282</v>
      </c>
      <c r="L1401" s="6" t="str">
        <f t="shared" si="316"/>
        <v>EE1</v>
      </c>
      <c r="M1401" s="13" t="s">
        <v>226</v>
      </c>
      <c r="N1401" s="7" t="s">
        <v>4485</v>
      </c>
      <c r="O1401" s="13" t="s">
        <v>4484</v>
      </c>
      <c r="P1401" s="115"/>
      <c r="Q1401" s="8"/>
      <c r="R1401" s="2">
        <v>1</v>
      </c>
      <c r="S1401" s="9">
        <v>0</v>
      </c>
      <c r="T1401" s="10">
        <f t="shared" si="331"/>
        <v>0</v>
      </c>
      <c r="U1401" s="9">
        <v>0</v>
      </c>
      <c r="V1401" s="10">
        <f t="shared" si="332"/>
        <v>0</v>
      </c>
      <c r="W1401" s="4" t="s">
        <v>122</v>
      </c>
      <c r="X1401" s="2"/>
      <c r="Y1401" s="11">
        <v>6</v>
      </c>
      <c r="Z1401" s="12">
        <f t="shared" si="317"/>
        <v>0</v>
      </c>
      <c r="AA1401" s="4" t="s">
        <v>174</v>
      </c>
      <c r="AC1401" s="176">
        <f t="shared" si="330"/>
        <v>0</v>
      </c>
    </row>
    <row r="1402" spans="2:29">
      <c r="B1402" s="183">
        <f t="shared" si="318"/>
        <v>39</v>
      </c>
      <c r="C1402" s="107" t="str">
        <f t="shared" si="319"/>
        <v>ATK</v>
      </c>
      <c r="D1402" s="2" t="s">
        <v>1306</v>
      </c>
      <c r="E1402" s="3">
        <v>44098</v>
      </c>
      <c r="F1402" s="3">
        <v>44098</v>
      </c>
      <c r="G1402" s="108">
        <f t="shared" si="320"/>
        <v>9</v>
      </c>
      <c r="H1402" s="108" t="str">
        <f t="shared" si="321"/>
        <v>완료</v>
      </c>
      <c r="I1402" s="112" t="s">
        <v>218</v>
      </c>
      <c r="J1402" s="4" t="s">
        <v>121</v>
      </c>
      <c r="K1402" s="5" t="s">
        <v>136</v>
      </c>
      <c r="L1402" s="6" t="str">
        <f t="shared" si="316"/>
        <v>5T1</v>
      </c>
      <c r="M1402" s="13" t="s">
        <v>4517</v>
      </c>
      <c r="N1402" s="7" t="s">
        <v>4518</v>
      </c>
      <c r="O1402" s="13" t="s">
        <v>3476</v>
      </c>
      <c r="P1402" s="115" t="s">
        <v>4519</v>
      </c>
      <c r="Q1402" s="8"/>
      <c r="R1402" s="2">
        <v>1</v>
      </c>
      <c r="S1402" s="9">
        <v>800</v>
      </c>
      <c r="T1402" s="10">
        <f t="shared" si="322"/>
        <v>400</v>
      </c>
      <c r="U1402" s="9">
        <v>20</v>
      </c>
      <c r="V1402" s="10">
        <f t="shared" si="323"/>
        <v>380</v>
      </c>
      <c r="W1402" s="4" t="s">
        <v>122</v>
      </c>
      <c r="X1402" s="2"/>
      <c r="Y1402" s="11">
        <v>4</v>
      </c>
      <c r="Z1402" s="12">
        <f t="shared" si="317"/>
        <v>0</v>
      </c>
      <c r="AA1402" s="4" t="s">
        <v>120</v>
      </c>
      <c r="AC1402" s="176">
        <f t="shared" si="330"/>
        <v>1.8181818181818181E-2</v>
      </c>
    </row>
    <row r="1403" spans="2:29">
      <c r="B1403" s="183">
        <f t="shared" si="318"/>
        <v>39</v>
      </c>
      <c r="C1403" s="107" t="str">
        <f t="shared" si="319"/>
        <v>ATK</v>
      </c>
      <c r="D1403" s="2" t="s">
        <v>341</v>
      </c>
      <c r="E1403" s="3">
        <v>44098</v>
      </c>
      <c r="F1403" s="3">
        <v>44098</v>
      </c>
      <c r="G1403" s="108">
        <f t="shared" si="320"/>
        <v>9</v>
      </c>
      <c r="H1403" s="108" t="str">
        <f t="shared" si="321"/>
        <v>완료</v>
      </c>
      <c r="I1403" s="112" t="s">
        <v>218</v>
      </c>
      <c r="J1403" s="4" t="s">
        <v>251</v>
      </c>
      <c r="K1403" s="5" t="s">
        <v>251</v>
      </c>
      <c r="L1403" s="6" t="str">
        <f t="shared" si="316"/>
        <v>Oth</v>
      </c>
      <c r="M1403" s="13" t="s">
        <v>342</v>
      </c>
      <c r="N1403" s="7" t="s">
        <v>4522</v>
      </c>
      <c r="O1403" s="7" t="s">
        <v>4522</v>
      </c>
      <c r="P1403" s="115" t="s">
        <v>4523</v>
      </c>
      <c r="Q1403" s="8"/>
      <c r="R1403" s="2">
        <v>2</v>
      </c>
      <c r="S1403" s="9">
        <v>500</v>
      </c>
      <c r="T1403" s="10">
        <f t="shared" si="322"/>
        <v>500</v>
      </c>
      <c r="U1403" s="9">
        <v>8</v>
      </c>
      <c r="V1403" s="10">
        <f t="shared" si="323"/>
        <v>492</v>
      </c>
      <c r="W1403" s="4" t="s">
        <v>122</v>
      </c>
      <c r="X1403" s="2"/>
      <c r="Y1403" s="11">
        <v>3</v>
      </c>
      <c r="Z1403" s="12">
        <f t="shared" si="317"/>
        <v>0</v>
      </c>
      <c r="AA1403" s="4" t="s">
        <v>212</v>
      </c>
      <c r="AC1403" s="176">
        <f t="shared" si="330"/>
        <v>7.2727272727272727E-3</v>
      </c>
    </row>
    <row r="1404" spans="2:29">
      <c r="B1404" s="183">
        <f t="shared" si="318"/>
        <v>38</v>
      </c>
      <c r="C1404" s="107" t="str">
        <f t="shared" si="319"/>
        <v>ATK</v>
      </c>
      <c r="D1404" s="2" t="s">
        <v>1003</v>
      </c>
      <c r="E1404" s="3">
        <v>44088</v>
      </c>
      <c r="F1404" s="3">
        <v>44090</v>
      </c>
      <c r="G1404" s="108">
        <f t="shared" si="320"/>
        <v>9</v>
      </c>
      <c r="H1404" s="108" t="str">
        <f t="shared" si="321"/>
        <v>완료</v>
      </c>
      <c r="I1404" s="112" t="s">
        <v>218</v>
      </c>
      <c r="J1404" s="4" t="s">
        <v>132</v>
      </c>
      <c r="K1404" s="5" t="s">
        <v>133</v>
      </c>
      <c r="L1404" s="6" t="str">
        <f t="shared" si="316"/>
        <v>3T3</v>
      </c>
      <c r="M1404" s="13" t="s">
        <v>730</v>
      </c>
      <c r="N1404" s="7" t="s">
        <v>4437</v>
      </c>
      <c r="O1404" s="13" t="s">
        <v>4438</v>
      </c>
      <c r="P1404" s="2" t="s">
        <v>4521</v>
      </c>
      <c r="Q1404" s="9" t="s">
        <v>4521</v>
      </c>
      <c r="R1404" s="2">
        <v>2</v>
      </c>
      <c r="S1404" s="9">
        <v>3500</v>
      </c>
      <c r="T1404" s="10">
        <f t="shared" si="322"/>
        <v>3500</v>
      </c>
      <c r="U1404" s="9">
        <v>20</v>
      </c>
      <c r="V1404" s="10">
        <f t="shared" si="323"/>
        <v>3480</v>
      </c>
      <c r="W1404" s="4" t="s">
        <v>122</v>
      </c>
      <c r="X1404" s="12" t="s">
        <v>4521</v>
      </c>
      <c r="Y1404" s="11">
        <v>7</v>
      </c>
      <c r="Z1404" s="12">
        <f t="shared" si="317"/>
        <v>2</v>
      </c>
      <c r="AA1404" s="4" t="s">
        <v>117</v>
      </c>
      <c r="AC1404" s="176">
        <f t="shared" si="330"/>
        <v>1.8181818181818181E-2</v>
      </c>
    </row>
    <row r="1405" spans="2:29" ht="24">
      <c r="B1405" s="183">
        <f t="shared" si="318"/>
        <v>39</v>
      </c>
      <c r="C1405" s="107" t="str">
        <f t="shared" si="319"/>
        <v>ATK</v>
      </c>
      <c r="D1405" s="2" t="s">
        <v>455</v>
      </c>
      <c r="E1405" s="3">
        <v>44098</v>
      </c>
      <c r="F1405" s="3">
        <v>44099</v>
      </c>
      <c r="G1405" s="108">
        <f t="shared" si="320"/>
        <v>9</v>
      </c>
      <c r="H1405" s="108" t="str">
        <f t="shared" si="321"/>
        <v>완료</v>
      </c>
      <c r="I1405" s="112" t="s">
        <v>218</v>
      </c>
      <c r="J1405" s="4" t="s">
        <v>118</v>
      </c>
      <c r="K1405" s="5" t="s">
        <v>135</v>
      </c>
      <c r="L1405" s="6" t="str">
        <f t="shared" si="316"/>
        <v>1T3</v>
      </c>
      <c r="M1405" s="13" t="s">
        <v>1024</v>
      </c>
      <c r="N1405" s="7" t="s">
        <v>4510</v>
      </c>
      <c r="O1405" s="13" t="s">
        <v>4520</v>
      </c>
      <c r="P1405" s="115" t="s">
        <v>4524</v>
      </c>
      <c r="Q1405" s="8"/>
      <c r="R1405" s="2">
        <v>1</v>
      </c>
      <c r="S1405" s="9">
        <v>1000</v>
      </c>
      <c r="T1405" s="10">
        <f t="shared" si="322"/>
        <v>500</v>
      </c>
      <c r="U1405" s="9">
        <v>10</v>
      </c>
      <c r="V1405" s="10">
        <f t="shared" si="323"/>
        <v>490</v>
      </c>
      <c r="W1405" s="4" t="s">
        <v>122</v>
      </c>
      <c r="X1405" s="2"/>
      <c r="Y1405" s="11">
        <v>6</v>
      </c>
      <c r="Z1405" s="12">
        <f t="shared" si="317"/>
        <v>1</v>
      </c>
      <c r="AA1405" s="4" t="s">
        <v>212</v>
      </c>
      <c r="AC1405" s="176">
        <f t="shared" si="330"/>
        <v>9.0909090909090905E-3</v>
      </c>
    </row>
    <row r="1406" spans="2:29">
      <c r="B1406" s="183">
        <f t="shared" si="318"/>
        <v>39</v>
      </c>
      <c r="C1406" s="107" t="str">
        <f t="shared" si="319"/>
        <v>ATK</v>
      </c>
      <c r="D1406" s="2" t="s">
        <v>3354</v>
      </c>
      <c r="E1406" s="3">
        <v>44099</v>
      </c>
      <c r="F1406" s="3">
        <v>44099</v>
      </c>
      <c r="G1406" s="108">
        <f t="shared" si="320"/>
        <v>9</v>
      </c>
      <c r="H1406" s="108" t="str">
        <f t="shared" si="321"/>
        <v>완료</v>
      </c>
      <c r="I1406" s="112" t="s">
        <v>218</v>
      </c>
      <c r="J1406" s="4" t="s">
        <v>31</v>
      </c>
      <c r="K1406" s="5" t="s">
        <v>31</v>
      </c>
      <c r="L1406" s="6" t="str">
        <f t="shared" si="316"/>
        <v>Oth</v>
      </c>
      <c r="M1406" s="13" t="s">
        <v>4525</v>
      </c>
      <c r="N1406" s="7" t="s">
        <v>4526</v>
      </c>
      <c r="O1406" s="13" t="s">
        <v>4527</v>
      </c>
      <c r="P1406" s="115" t="s">
        <v>4529</v>
      </c>
      <c r="Q1406" s="8"/>
      <c r="R1406" s="2">
        <v>1</v>
      </c>
      <c r="S1406" s="9">
        <v>3000</v>
      </c>
      <c r="T1406" s="10">
        <f t="shared" si="322"/>
        <v>1500</v>
      </c>
      <c r="U1406" s="9">
        <v>100</v>
      </c>
      <c r="V1406" s="10">
        <f t="shared" si="323"/>
        <v>1400</v>
      </c>
      <c r="W1406" s="4" t="s">
        <v>122</v>
      </c>
      <c r="X1406" s="2"/>
      <c r="Y1406" s="11">
        <v>3</v>
      </c>
      <c r="Z1406" s="12">
        <f t="shared" si="317"/>
        <v>0</v>
      </c>
      <c r="AA1406" s="4" t="s">
        <v>27</v>
      </c>
      <c r="AC1406" s="176">
        <f t="shared" si="330"/>
        <v>9.0909090909090912E-2</v>
      </c>
    </row>
    <row r="1407" spans="2:29">
      <c r="B1407" s="183">
        <f t="shared" si="318"/>
        <v>39</v>
      </c>
      <c r="C1407" s="107" t="str">
        <f t="shared" si="319"/>
        <v>ATK</v>
      </c>
      <c r="D1407" s="2" t="s">
        <v>3354</v>
      </c>
      <c r="E1407" s="3">
        <v>44099</v>
      </c>
      <c r="F1407" s="3">
        <v>44099</v>
      </c>
      <c r="G1407" s="108">
        <f t="shared" si="320"/>
        <v>9</v>
      </c>
      <c r="H1407" s="108" t="str">
        <f t="shared" si="321"/>
        <v>Other</v>
      </c>
      <c r="I1407" s="112" t="s">
        <v>251</v>
      </c>
      <c r="J1407" s="4" t="s">
        <v>31</v>
      </c>
      <c r="K1407" s="5" t="s">
        <v>31</v>
      </c>
      <c r="L1407" s="6" t="str">
        <f t="shared" si="316"/>
        <v>Oth</v>
      </c>
      <c r="M1407" s="13" t="s">
        <v>4525</v>
      </c>
      <c r="N1407" s="7" t="s">
        <v>4526</v>
      </c>
      <c r="O1407" s="13" t="s">
        <v>4527</v>
      </c>
      <c r="P1407" s="115" t="s">
        <v>4528</v>
      </c>
      <c r="Q1407" s="8"/>
      <c r="R1407" s="2">
        <v>1</v>
      </c>
      <c r="S1407" s="9">
        <v>0</v>
      </c>
      <c r="T1407" s="10">
        <f t="shared" si="322"/>
        <v>0</v>
      </c>
      <c r="U1407" s="9">
        <v>0</v>
      </c>
      <c r="V1407" s="10">
        <f t="shared" si="323"/>
        <v>0</v>
      </c>
      <c r="W1407" s="4" t="s">
        <v>122</v>
      </c>
      <c r="X1407" s="2"/>
      <c r="Y1407" s="11">
        <v>2</v>
      </c>
      <c r="Z1407" s="12">
        <f t="shared" si="317"/>
        <v>0</v>
      </c>
      <c r="AA1407" s="4" t="s">
        <v>27</v>
      </c>
      <c r="AC1407" s="176">
        <f t="shared" si="330"/>
        <v>0</v>
      </c>
    </row>
    <row r="1408" spans="2:29">
      <c r="B1408" s="183">
        <f t="shared" si="318"/>
        <v>39</v>
      </c>
      <c r="C1408" s="107" t="str">
        <f t="shared" si="319"/>
        <v>ATK</v>
      </c>
      <c r="D1408" s="2" t="s">
        <v>3354</v>
      </c>
      <c r="E1408" s="3">
        <v>44099</v>
      </c>
      <c r="F1408" s="3">
        <v>44099</v>
      </c>
      <c r="G1408" s="108">
        <f t="shared" si="320"/>
        <v>9</v>
      </c>
      <c r="H1408" s="108" t="str">
        <f t="shared" si="321"/>
        <v>Other</v>
      </c>
      <c r="I1408" s="112" t="s">
        <v>251</v>
      </c>
      <c r="J1408" s="4" t="s">
        <v>31</v>
      </c>
      <c r="K1408" s="5" t="s">
        <v>31</v>
      </c>
      <c r="L1408" s="6" t="str">
        <f t="shared" si="316"/>
        <v>Oth</v>
      </c>
      <c r="M1408" s="13" t="s">
        <v>4525</v>
      </c>
      <c r="N1408" s="7" t="s">
        <v>4526</v>
      </c>
      <c r="O1408" s="13" t="s">
        <v>4527</v>
      </c>
      <c r="P1408" s="115" t="s">
        <v>4528</v>
      </c>
      <c r="Q1408" s="8"/>
      <c r="R1408" s="2">
        <v>1</v>
      </c>
      <c r="S1408" s="9">
        <v>0</v>
      </c>
      <c r="T1408" s="10">
        <f t="shared" si="322"/>
        <v>0</v>
      </c>
      <c r="U1408" s="9">
        <v>0</v>
      </c>
      <c r="V1408" s="10">
        <f t="shared" si="323"/>
        <v>0</v>
      </c>
      <c r="W1408" s="4" t="s">
        <v>122</v>
      </c>
      <c r="X1408" s="2"/>
      <c r="Y1408" s="11">
        <v>2</v>
      </c>
      <c r="Z1408" s="12">
        <f t="shared" si="317"/>
        <v>0</v>
      </c>
      <c r="AA1408" s="4" t="s">
        <v>30</v>
      </c>
      <c r="AC1408" s="176">
        <f t="shared" si="330"/>
        <v>0</v>
      </c>
    </row>
    <row r="1409" spans="2:29">
      <c r="B1409" s="183">
        <f t="shared" si="318"/>
        <v>40</v>
      </c>
      <c r="C1409" s="107" t="str">
        <f t="shared" si="319"/>
        <v>ATK</v>
      </c>
      <c r="D1409" s="2" t="s">
        <v>541</v>
      </c>
      <c r="E1409" s="3">
        <v>44102</v>
      </c>
      <c r="F1409" s="3">
        <v>44102</v>
      </c>
      <c r="G1409" s="108">
        <f t="shared" si="320"/>
        <v>9</v>
      </c>
      <c r="H1409" s="108" t="str">
        <f t="shared" si="321"/>
        <v>완료</v>
      </c>
      <c r="I1409" s="112" t="s">
        <v>218</v>
      </c>
      <c r="J1409" s="4" t="s">
        <v>132</v>
      </c>
      <c r="K1409" s="5" t="s">
        <v>322</v>
      </c>
      <c r="L1409" s="6" t="str">
        <f t="shared" ref="L1409:L1470" si="333">LEFT(K1409,3)</f>
        <v>3T1</v>
      </c>
      <c r="M1409" s="13" t="s">
        <v>542</v>
      </c>
      <c r="N1409" s="7" t="s">
        <v>4530</v>
      </c>
      <c r="O1409" s="13" t="s">
        <v>543</v>
      </c>
      <c r="P1409" s="115" t="s">
        <v>544</v>
      </c>
      <c r="Q1409" s="8"/>
      <c r="R1409" s="2">
        <v>1</v>
      </c>
      <c r="S1409" s="9">
        <v>70</v>
      </c>
      <c r="T1409" s="10">
        <f t="shared" si="322"/>
        <v>35</v>
      </c>
      <c r="U1409" s="9">
        <v>1</v>
      </c>
      <c r="V1409" s="10">
        <f t="shared" si="323"/>
        <v>34</v>
      </c>
      <c r="W1409" s="4" t="s">
        <v>122</v>
      </c>
      <c r="X1409" s="2"/>
      <c r="Y1409" s="11">
        <v>2</v>
      </c>
      <c r="Z1409" s="12">
        <f t="shared" ref="Z1409:Z1472" si="334">F1409-E1409</f>
        <v>0</v>
      </c>
      <c r="AA1409" s="4" t="s">
        <v>120</v>
      </c>
      <c r="AC1409" s="176">
        <f t="shared" si="330"/>
        <v>9.0909090909090909E-4</v>
      </c>
    </row>
    <row r="1410" spans="2:29">
      <c r="B1410" s="183">
        <f t="shared" si="318"/>
        <v>40</v>
      </c>
      <c r="C1410" s="107" t="str">
        <f t="shared" si="319"/>
        <v>ATK</v>
      </c>
      <c r="D1410" s="2" t="s">
        <v>4531</v>
      </c>
      <c r="E1410" s="3">
        <v>44102</v>
      </c>
      <c r="F1410" s="3">
        <v>44102</v>
      </c>
      <c r="G1410" s="108">
        <f t="shared" si="320"/>
        <v>9</v>
      </c>
      <c r="H1410" s="108" t="str">
        <f t="shared" si="321"/>
        <v>완료</v>
      </c>
      <c r="I1410" s="112" t="s">
        <v>218</v>
      </c>
      <c r="J1410" s="4" t="s">
        <v>139</v>
      </c>
      <c r="K1410" s="5" t="s">
        <v>466</v>
      </c>
      <c r="L1410" s="6" t="str">
        <f t="shared" si="333"/>
        <v>6T2</v>
      </c>
      <c r="M1410" s="13" t="s">
        <v>213</v>
      </c>
      <c r="N1410" s="7" t="s">
        <v>4532</v>
      </c>
      <c r="O1410" s="13" t="s">
        <v>4533</v>
      </c>
      <c r="P1410" s="115" t="s">
        <v>4534</v>
      </c>
      <c r="Q1410" s="8" t="s">
        <v>4535</v>
      </c>
      <c r="R1410" s="2">
        <v>1</v>
      </c>
      <c r="S1410" s="9">
        <v>6000</v>
      </c>
      <c r="T1410" s="10">
        <f t="shared" si="322"/>
        <v>3000</v>
      </c>
      <c r="U1410" s="9">
        <v>3</v>
      </c>
      <c r="V1410" s="10">
        <f t="shared" si="323"/>
        <v>2997</v>
      </c>
      <c r="W1410" s="4" t="s">
        <v>122</v>
      </c>
      <c r="X1410" s="2"/>
      <c r="Y1410" s="11">
        <v>4</v>
      </c>
      <c r="Z1410" s="12">
        <f t="shared" si="334"/>
        <v>0</v>
      </c>
      <c r="AA1410" s="4" t="s">
        <v>120</v>
      </c>
      <c r="AC1410" s="176">
        <f t="shared" si="330"/>
        <v>2.7272727272727275E-3</v>
      </c>
    </row>
    <row r="1411" spans="2:29">
      <c r="B1411" s="183">
        <f t="shared" ref="B1411:B1474" si="335">IF(F1411&gt;0,IFERROR(WEEKNUM(F1411),""),"")</f>
        <v>40</v>
      </c>
      <c r="C1411" s="107" t="str">
        <f t="shared" ref="C1411:C1474" si="336">IF(D1411=0,"",(IF(LEFT(D1411,3)="ATK","ATK",IF(LEFT(D1411,2)="AT",D1411,"ATK"))))</f>
        <v>ATK</v>
      </c>
      <c r="D1411" s="2" t="s">
        <v>664</v>
      </c>
      <c r="E1411" s="3">
        <v>44102</v>
      </c>
      <c r="F1411" s="3">
        <v>44102</v>
      </c>
      <c r="G1411" s="108">
        <f t="shared" ref="G1411:G1474" si="337">IF(F1411&gt;0,MONTH(F1411),"")</f>
        <v>9</v>
      </c>
      <c r="H1411" s="108" t="str">
        <f t="shared" ref="H1411:H1474" si="338">IF(I1411=0,"",IF(RIGHT(I1411,2)="완료","완료",IF(RIGHT(I1411,2)="불가","수리불가",IF(RIGHT(I1411,1)="중","수리중","Other"))))</f>
        <v>완료</v>
      </c>
      <c r="I1411" s="112" t="s">
        <v>218</v>
      </c>
      <c r="J1411" s="4" t="s">
        <v>808</v>
      </c>
      <c r="K1411" s="5" t="s">
        <v>833</v>
      </c>
      <c r="L1411" s="6" t="str">
        <f t="shared" si="333"/>
        <v>1T3</v>
      </c>
      <c r="M1411" s="13" t="s">
        <v>4536</v>
      </c>
      <c r="N1411" s="7" t="s">
        <v>4134</v>
      </c>
      <c r="O1411" s="13" t="s">
        <v>1782</v>
      </c>
      <c r="P1411" s="115" t="s">
        <v>330</v>
      </c>
      <c r="Q1411" s="8"/>
      <c r="R1411" s="2">
        <v>1</v>
      </c>
      <c r="S1411" s="9">
        <v>4500</v>
      </c>
      <c r="T1411" s="10">
        <f t="shared" si="322"/>
        <v>2250</v>
      </c>
      <c r="U1411" s="9">
        <v>10</v>
      </c>
      <c r="V1411" s="10">
        <f t="shared" si="323"/>
        <v>2240</v>
      </c>
      <c r="W1411" s="4" t="s">
        <v>122</v>
      </c>
      <c r="X1411" s="2"/>
      <c r="Y1411" s="11">
        <v>3</v>
      </c>
      <c r="Z1411" s="12">
        <f t="shared" si="334"/>
        <v>0</v>
      </c>
      <c r="AA1411" s="4" t="s">
        <v>27</v>
      </c>
      <c r="AC1411" s="176">
        <f t="shared" si="330"/>
        <v>9.0909090909090905E-3</v>
      </c>
    </row>
    <row r="1412" spans="2:29">
      <c r="B1412" s="183">
        <f t="shared" si="335"/>
        <v>40</v>
      </c>
      <c r="C1412" s="107" t="str">
        <f t="shared" si="336"/>
        <v>ATK</v>
      </c>
      <c r="D1412" s="2" t="s">
        <v>3197</v>
      </c>
      <c r="E1412" s="3">
        <v>44102</v>
      </c>
      <c r="F1412" s="3">
        <v>44103</v>
      </c>
      <c r="G1412" s="108">
        <f t="shared" si="337"/>
        <v>9</v>
      </c>
      <c r="H1412" s="108" t="str">
        <f t="shared" si="338"/>
        <v>완료</v>
      </c>
      <c r="I1412" s="112" t="s">
        <v>218</v>
      </c>
      <c r="J1412" s="4" t="s">
        <v>481</v>
      </c>
      <c r="K1412" s="5" t="s">
        <v>695</v>
      </c>
      <c r="L1412" s="6" t="str">
        <f t="shared" si="333"/>
        <v>2T2</v>
      </c>
      <c r="M1412" s="13" t="s">
        <v>4536</v>
      </c>
      <c r="N1412" s="7" t="s">
        <v>4134</v>
      </c>
      <c r="O1412" s="13" t="s">
        <v>1782</v>
      </c>
      <c r="P1412" s="115" t="s">
        <v>4546</v>
      </c>
      <c r="Q1412" s="8"/>
      <c r="R1412" s="2">
        <v>1</v>
      </c>
      <c r="S1412" s="9">
        <v>4500</v>
      </c>
      <c r="T1412" s="10">
        <f t="shared" ref="T1412" si="339">(S1412*50)/100*R1412</f>
        <v>2250</v>
      </c>
      <c r="U1412" s="9">
        <v>0</v>
      </c>
      <c r="V1412" s="10">
        <f t="shared" ref="V1412" si="340">T1412-U1412</f>
        <v>2250</v>
      </c>
      <c r="W1412" s="4" t="s">
        <v>122</v>
      </c>
      <c r="X1412" s="2"/>
      <c r="Y1412" s="11">
        <v>3</v>
      </c>
      <c r="Z1412" s="12">
        <f t="shared" si="334"/>
        <v>1</v>
      </c>
      <c r="AA1412" s="4" t="s">
        <v>27</v>
      </c>
      <c r="AC1412" s="176">
        <f t="shared" si="330"/>
        <v>0</v>
      </c>
    </row>
    <row r="1413" spans="2:29">
      <c r="B1413" s="183">
        <f t="shared" si="335"/>
        <v>40</v>
      </c>
      <c r="C1413" s="107" t="str">
        <f t="shared" si="336"/>
        <v>ATK</v>
      </c>
      <c r="D1413" s="2" t="s">
        <v>4537</v>
      </c>
      <c r="E1413" s="3">
        <v>44102</v>
      </c>
      <c r="F1413" s="3">
        <v>44102</v>
      </c>
      <c r="G1413" s="108">
        <f t="shared" si="337"/>
        <v>9</v>
      </c>
      <c r="H1413" s="108" t="str">
        <f t="shared" si="338"/>
        <v>완료</v>
      </c>
      <c r="I1413" s="112" t="s">
        <v>4538</v>
      </c>
      <c r="J1413" s="4" t="s">
        <v>31</v>
      </c>
      <c r="K1413" s="5" t="s">
        <v>31</v>
      </c>
      <c r="L1413" s="6" t="str">
        <f t="shared" si="333"/>
        <v>Oth</v>
      </c>
      <c r="M1413" s="13" t="s">
        <v>3354</v>
      </c>
      <c r="N1413" s="7" t="s">
        <v>4539</v>
      </c>
      <c r="O1413" s="13" t="s">
        <v>4540</v>
      </c>
      <c r="P1413" s="115" t="s">
        <v>4541</v>
      </c>
      <c r="Q1413" s="8"/>
      <c r="R1413" s="2">
        <v>1</v>
      </c>
      <c r="S1413" s="9">
        <v>500</v>
      </c>
      <c r="T1413" s="10">
        <f t="shared" ref="T1413:T1473" si="341">(S1413*50)/100*R1413</f>
        <v>250</v>
      </c>
      <c r="U1413" s="9">
        <v>5</v>
      </c>
      <c r="V1413" s="10">
        <f t="shared" ref="V1413:V1473" si="342">T1413-U1413</f>
        <v>245</v>
      </c>
      <c r="W1413" s="4" t="s">
        <v>4542</v>
      </c>
      <c r="X1413" s="2"/>
      <c r="Y1413" s="11">
        <v>4</v>
      </c>
      <c r="Z1413" s="12">
        <f t="shared" si="334"/>
        <v>0</v>
      </c>
      <c r="AA1413" s="4" t="s">
        <v>4543</v>
      </c>
      <c r="AC1413" s="176">
        <f t="shared" si="330"/>
        <v>4.5454545454545452E-3</v>
      </c>
    </row>
    <row r="1414" spans="2:29">
      <c r="B1414" s="183">
        <f t="shared" si="335"/>
        <v>40</v>
      </c>
      <c r="C1414" s="107" t="str">
        <f t="shared" si="336"/>
        <v>ATK</v>
      </c>
      <c r="D1414" s="2" t="s">
        <v>2968</v>
      </c>
      <c r="E1414" s="3">
        <v>44103</v>
      </c>
      <c r="F1414" s="3">
        <v>44103</v>
      </c>
      <c r="G1414" s="108">
        <f t="shared" si="337"/>
        <v>9</v>
      </c>
      <c r="H1414" s="108" t="str">
        <f t="shared" si="338"/>
        <v>완료</v>
      </c>
      <c r="I1414" s="112" t="s">
        <v>218</v>
      </c>
      <c r="J1414" s="4" t="s">
        <v>115</v>
      </c>
      <c r="K1414" s="5" t="s">
        <v>116</v>
      </c>
      <c r="L1414" s="6" t="str">
        <f t="shared" si="333"/>
        <v>EE2</v>
      </c>
      <c r="M1414" s="13" t="s">
        <v>925</v>
      </c>
      <c r="N1414" s="7" t="s">
        <v>4544</v>
      </c>
      <c r="O1414" s="13" t="s">
        <v>1862</v>
      </c>
      <c r="P1414" s="115" t="s">
        <v>4545</v>
      </c>
      <c r="Q1414" s="8"/>
      <c r="R1414" s="2">
        <v>1</v>
      </c>
      <c r="S1414" s="9">
        <v>220</v>
      </c>
      <c r="T1414" s="10">
        <f t="shared" si="341"/>
        <v>110</v>
      </c>
      <c r="U1414" s="9">
        <v>0</v>
      </c>
      <c r="V1414" s="10">
        <f t="shared" si="342"/>
        <v>110</v>
      </c>
      <c r="W1414" s="4" t="s">
        <v>122</v>
      </c>
      <c r="X1414" s="2"/>
      <c r="Y1414" s="11">
        <v>3</v>
      </c>
      <c r="Z1414" s="12">
        <f t="shared" si="334"/>
        <v>0</v>
      </c>
      <c r="AA1414" s="4" t="s">
        <v>120</v>
      </c>
      <c r="AC1414" s="176">
        <f t="shared" si="330"/>
        <v>0</v>
      </c>
    </row>
    <row r="1415" spans="2:29">
      <c r="B1415" s="183">
        <f t="shared" si="335"/>
        <v>41</v>
      </c>
      <c r="C1415" s="107" t="str">
        <f t="shared" si="336"/>
        <v>ATK</v>
      </c>
      <c r="D1415" s="2" t="s">
        <v>4548</v>
      </c>
      <c r="E1415" s="3">
        <v>44108</v>
      </c>
      <c r="F1415" s="3">
        <v>44108</v>
      </c>
      <c r="G1415" s="108">
        <f t="shared" si="337"/>
        <v>10</v>
      </c>
      <c r="H1415" s="108" t="str">
        <f t="shared" si="338"/>
        <v>완료</v>
      </c>
      <c r="I1415" s="112" t="s">
        <v>218</v>
      </c>
      <c r="J1415" s="4" t="s">
        <v>265</v>
      </c>
      <c r="K1415" s="5" t="s">
        <v>266</v>
      </c>
      <c r="L1415" s="6" t="str">
        <f t="shared" si="333"/>
        <v>3T4</v>
      </c>
      <c r="M1415" s="13" t="s">
        <v>226</v>
      </c>
      <c r="N1415" s="7" t="s">
        <v>4547</v>
      </c>
      <c r="O1415" s="13" t="s">
        <v>225</v>
      </c>
      <c r="P1415" s="115" t="s">
        <v>4549</v>
      </c>
      <c r="Q1415" s="8"/>
      <c r="R1415" s="2">
        <v>1</v>
      </c>
      <c r="S1415" s="9">
        <v>6000</v>
      </c>
      <c r="T1415" s="10">
        <f t="shared" si="341"/>
        <v>3000</v>
      </c>
      <c r="U1415" s="9">
        <v>200</v>
      </c>
      <c r="V1415" s="10">
        <f t="shared" si="342"/>
        <v>2800</v>
      </c>
      <c r="W1415" s="4" t="s">
        <v>122</v>
      </c>
      <c r="X1415" s="2"/>
      <c r="Y1415" s="11">
        <v>5</v>
      </c>
      <c r="Z1415" s="12">
        <f t="shared" si="334"/>
        <v>0</v>
      </c>
      <c r="AA1415" s="4" t="s">
        <v>117</v>
      </c>
      <c r="AC1415" s="176">
        <f t="shared" si="330"/>
        <v>0.18181818181818182</v>
      </c>
    </row>
    <row r="1416" spans="2:29">
      <c r="B1416" s="183">
        <f t="shared" si="335"/>
        <v>41</v>
      </c>
      <c r="C1416" s="107" t="str">
        <f t="shared" si="336"/>
        <v>ATK</v>
      </c>
      <c r="D1416" s="2" t="s">
        <v>3197</v>
      </c>
      <c r="E1416" s="3">
        <v>44109</v>
      </c>
      <c r="F1416" s="3">
        <v>44109</v>
      </c>
      <c r="G1416" s="108">
        <f t="shared" si="337"/>
        <v>10</v>
      </c>
      <c r="H1416" s="108" t="str">
        <f t="shared" si="338"/>
        <v>완료</v>
      </c>
      <c r="I1416" s="112" t="s">
        <v>218</v>
      </c>
      <c r="J1416" s="4" t="s">
        <v>481</v>
      </c>
      <c r="K1416" s="5" t="s">
        <v>695</v>
      </c>
      <c r="L1416" s="6" t="str">
        <f t="shared" si="333"/>
        <v>2T2</v>
      </c>
      <c r="M1416" s="13" t="s">
        <v>4536</v>
      </c>
      <c r="N1416" s="7" t="s">
        <v>4038</v>
      </c>
      <c r="O1416" s="13" t="s">
        <v>2763</v>
      </c>
      <c r="P1416" s="115" t="s">
        <v>1617</v>
      </c>
      <c r="Q1416" s="8"/>
      <c r="R1416" s="2">
        <v>2</v>
      </c>
      <c r="S1416" s="9">
        <v>500</v>
      </c>
      <c r="T1416" s="10">
        <f t="shared" si="341"/>
        <v>500</v>
      </c>
      <c r="U1416" s="9">
        <v>100</v>
      </c>
      <c r="V1416" s="10">
        <f t="shared" si="342"/>
        <v>400</v>
      </c>
      <c r="W1416" s="4" t="s">
        <v>122</v>
      </c>
      <c r="X1416" s="2"/>
      <c r="Y1416" s="11">
        <v>2</v>
      </c>
      <c r="Z1416" s="12">
        <f t="shared" si="334"/>
        <v>0</v>
      </c>
      <c r="AA1416" s="4" t="s">
        <v>27</v>
      </c>
      <c r="AC1416" s="176">
        <f t="shared" si="330"/>
        <v>9.0909090909090912E-2</v>
      </c>
    </row>
    <row r="1417" spans="2:29">
      <c r="B1417" s="183">
        <f t="shared" si="335"/>
        <v>41</v>
      </c>
      <c r="C1417" s="107" t="str">
        <f t="shared" si="336"/>
        <v>ATK</v>
      </c>
      <c r="D1417" s="2" t="s">
        <v>4550</v>
      </c>
      <c r="E1417" s="3">
        <v>44110</v>
      </c>
      <c r="F1417" s="3">
        <v>44110</v>
      </c>
      <c r="G1417" s="108">
        <f t="shared" si="337"/>
        <v>10</v>
      </c>
      <c r="H1417" s="108" t="str">
        <f t="shared" si="338"/>
        <v>완료</v>
      </c>
      <c r="I1417" s="112" t="s">
        <v>218</v>
      </c>
      <c r="J1417" s="4" t="s">
        <v>243</v>
      </c>
      <c r="K1417" s="5" t="s">
        <v>243</v>
      </c>
      <c r="L1417" s="6" t="str">
        <f t="shared" si="333"/>
        <v>K5</v>
      </c>
      <c r="M1417" s="13" t="s">
        <v>4551</v>
      </c>
      <c r="N1417" s="7" t="s">
        <v>4552</v>
      </c>
      <c r="O1417" s="13" t="s">
        <v>4553</v>
      </c>
      <c r="P1417" s="115" t="s">
        <v>4554</v>
      </c>
      <c r="Q1417" s="8"/>
      <c r="R1417" s="2">
        <v>1</v>
      </c>
      <c r="S1417" s="9">
        <v>6000</v>
      </c>
      <c r="T1417" s="10">
        <f t="shared" si="341"/>
        <v>3000</v>
      </c>
      <c r="U1417" s="9">
        <v>30</v>
      </c>
      <c r="V1417" s="10">
        <f t="shared" si="342"/>
        <v>2970</v>
      </c>
      <c r="W1417" s="4" t="s">
        <v>122</v>
      </c>
      <c r="X1417" s="2"/>
      <c r="Y1417" s="11">
        <v>6</v>
      </c>
      <c r="Z1417" s="12">
        <f t="shared" si="334"/>
        <v>0</v>
      </c>
      <c r="AA1417" s="4" t="s">
        <v>117</v>
      </c>
      <c r="AC1417" s="176">
        <f t="shared" si="330"/>
        <v>2.7272727272727271E-2</v>
      </c>
    </row>
    <row r="1418" spans="2:29">
      <c r="B1418" s="183">
        <f t="shared" si="335"/>
        <v>41</v>
      </c>
      <c r="C1418" s="107" t="str">
        <f t="shared" si="336"/>
        <v>ATK</v>
      </c>
      <c r="D1418" s="2" t="s">
        <v>4105</v>
      </c>
      <c r="E1418" s="3">
        <v>44110</v>
      </c>
      <c r="F1418" s="3">
        <v>44110</v>
      </c>
      <c r="G1418" s="108">
        <f t="shared" si="337"/>
        <v>10</v>
      </c>
      <c r="H1418" s="108" t="str">
        <f t="shared" si="338"/>
        <v>완료</v>
      </c>
      <c r="I1418" s="112" t="s">
        <v>218</v>
      </c>
      <c r="J1418" s="4" t="s">
        <v>121</v>
      </c>
      <c r="K1418" s="5" t="s">
        <v>136</v>
      </c>
      <c r="L1418" s="6" t="str">
        <f t="shared" si="333"/>
        <v>5T1</v>
      </c>
      <c r="M1418" s="13" t="s">
        <v>4065</v>
      </c>
      <c r="N1418" s="7" t="s">
        <v>3511</v>
      </c>
      <c r="O1418" s="13" t="s">
        <v>287</v>
      </c>
      <c r="P1418" s="115"/>
      <c r="Q1418" s="8"/>
      <c r="R1418" s="2">
        <v>1</v>
      </c>
      <c r="S1418" s="9">
        <v>1200</v>
      </c>
      <c r="T1418" s="10">
        <f t="shared" si="341"/>
        <v>600</v>
      </c>
      <c r="U1418" s="9">
        <v>5</v>
      </c>
      <c r="V1418" s="10">
        <f t="shared" si="342"/>
        <v>595</v>
      </c>
      <c r="W1418" s="4" t="s">
        <v>122</v>
      </c>
      <c r="X1418" s="2"/>
      <c r="Y1418" s="11">
        <v>1</v>
      </c>
      <c r="Z1418" s="12">
        <f t="shared" si="334"/>
        <v>0</v>
      </c>
      <c r="AA1418" s="4" t="s">
        <v>117</v>
      </c>
      <c r="AC1418" s="176">
        <f t="shared" si="330"/>
        <v>4.5454545454545452E-3</v>
      </c>
    </row>
    <row r="1419" spans="2:29">
      <c r="B1419" s="183">
        <f t="shared" si="335"/>
        <v>41</v>
      </c>
      <c r="C1419" s="107" t="str">
        <f t="shared" si="336"/>
        <v>ATK</v>
      </c>
      <c r="D1419" s="2" t="s">
        <v>952</v>
      </c>
      <c r="E1419" s="3">
        <v>44109</v>
      </c>
      <c r="F1419" s="3">
        <v>44110</v>
      </c>
      <c r="G1419" s="108">
        <f t="shared" si="337"/>
        <v>10</v>
      </c>
      <c r="H1419" s="108" t="str">
        <f t="shared" si="338"/>
        <v>완료</v>
      </c>
      <c r="I1419" s="112" t="s">
        <v>218</v>
      </c>
      <c r="J1419" s="4" t="s">
        <v>756</v>
      </c>
      <c r="K1419" s="5" t="s">
        <v>756</v>
      </c>
      <c r="L1419" s="6" t="str">
        <f t="shared" si="333"/>
        <v>QA</v>
      </c>
      <c r="M1419" s="13" t="s">
        <v>756</v>
      </c>
      <c r="N1419" s="7" t="s">
        <v>226</v>
      </c>
      <c r="O1419" s="13" t="s">
        <v>225</v>
      </c>
      <c r="P1419" s="115" t="s">
        <v>4555</v>
      </c>
      <c r="Q1419" s="8"/>
      <c r="R1419" s="2">
        <v>1</v>
      </c>
      <c r="S1419" s="9">
        <v>3000</v>
      </c>
      <c r="T1419" s="10">
        <f t="shared" si="341"/>
        <v>1500</v>
      </c>
      <c r="U1419" s="9">
        <v>30</v>
      </c>
      <c r="V1419" s="10">
        <f t="shared" si="342"/>
        <v>1470</v>
      </c>
      <c r="W1419" s="4" t="s">
        <v>122</v>
      </c>
      <c r="X1419" s="2"/>
      <c r="Y1419" s="11">
        <v>3</v>
      </c>
      <c r="Z1419" s="12">
        <f t="shared" si="334"/>
        <v>1</v>
      </c>
      <c r="AA1419" s="4" t="s">
        <v>27</v>
      </c>
      <c r="AC1419" s="176">
        <f t="shared" si="330"/>
        <v>2.7272727272727271E-2</v>
      </c>
    </row>
    <row r="1420" spans="2:29">
      <c r="B1420" s="183">
        <f t="shared" si="335"/>
        <v>41</v>
      </c>
      <c r="C1420" s="107" t="str">
        <f t="shared" si="336"/>
        <v>ATK</v>
      </c>
      <c r="D1420" s="2" t="s">
        <v>4259</v>
      </c>
      <c r="E1420" s="3">
        <v>44109</v>
      </c>
      <c r="F1420" s="3">
        <v>44110</v>
      </c>
      <c r="G1420" s="108">
        <f t="shared" si="337"/>
        <v>10</v>
      </c>
      <c r="H1420" s="108" t="str">
        <f t="shared" si="338"/>
        <v>완료</v>
      </c>
      <c r="I1420" s="112" t="s">
        <v>218</v>
      </c>
      <c r="J1420" s="4" t="s">
        <v>139</v>
      </c>
      <c r="K1420" s="5" t="s">
        <v>136</v>
      </c>
      <c r="L1420" s="6" t="str">
        <f t="shared" si="333"/>
        <v>5T1</v>
      </c>
      <c r="M1420" s="13" t="s">
        <v>4440</v>
      </c>
      <c r="N1420" s="7" t="s">
        <v>4556</v>
      </c>
      <c r="O1420" s="13" t="s">
        <v>4557</v>
      </c>
      <c r="P1420" s="115" t="s">
        <v>775</v>
      </c>
      <c r="Q1420" s="8" t="s">
        <v>4558</v>
      </c>
      <c r="R1420" s="2">
        <v>1</v>
      </c>
      <c r="S1420" s="9">
        <v>600</v>
      </c>
      <c r="T1420" s="10">
        <f t="shared" si="341"/>
        <v>300</v>
      </c>
      <c r="U1420" s="9">
        <v>1</v>
      </c>
      <c r="V1420" s="10">
        <f t="shared" si="342"/>
        <v>299</v>
      </c>
      <c r="W1420" s="4" t="s">
        <v>122</v>
      </c>
      <c r="X1420" s="2"/>
      <c r="Y1420" s="11">
        <v>3</v>
      </c>
      <c r="Z1420" s="12">
        <f t="shared" si="334"/>
        <v>1</v>
      </c>
      <c r="AA1420" s="4" t="s">
        <v>120</v>
      </c>
      <c r="AC1420" s="176">
        <f t="shared" si="330"/>
        <v>9.0909090909090909E-4</v>
      </c>
    </row>
    <row r="1421" spans="2:29">
      <c r="B1421" s="183">
        <f t="shared" si="335"/>
        <v>41</v>
      </c>
      <c r="C1421" s="107" t="str">
        <f t="shared" si="336"/>
        <v>ATK</v>
      </c>
      <c r="D1421" s="2" t="s">
        <v>652</v>
      </c>
      <c r="E1421" s="3">
        <v>44110</v>
      </c>
      <c r="F1421" s="3">
        <v>44110</v>
      </c>
      <c r="G1421" s="108">
        <f t="shared" si="337"/>
        <v>10</v>
      </c>
      <c r="H1421" s="108" t="str">
        <f t="shared" si="338"/>
        <v>완료</v>
      </c>
      <c r="I1421" s="112" t="s">
        <v>218</v>
      </c>
      <c r="J1421" s="4" t="s">
        <v>281</v>
      </c>
      <c r="K1421" s="5" t="s">
        <v>332</v>
      </c>
      <c r="L1421" s="6" t="str">
        <f t="shared" si="333"/>
        <v>EE2</v>
      </c>
      <c r="M1421" s="13" t="s">
        <v>4536</v>
      </c>
      <c r="N1421" s="7" t="s">
        <v>4559</v>
      </c>
      <c r="O1421" s="13" t="s">
        <v>2698</v>
      </c>
      <c r="P1421" s="115" t="s">
        <v>330</v>
      </c>
      <c r="Q1421" s="8"/>
      <c r="R1421" s="2">
        <v>1</v>
      </c>
      <c r="S1421" s="9">
        <v>3500</v>
      </c>
      <c r="T1421" s="10">
        <f t="shared" si="341"/>
        <v>1750</v>
      </c>
      <c r="U1421" s="9">
        <v>0</v>
      </c>
      <c r="V1421" s="10">
        <f t="shared" si="342"/>
        <v>1750</v>
      </c>
      <c r="W1421" s="4" t="s">
        <v>122</v>
      </c>
      <c r="X1421" s="2"/>
      <c r="Y1421" s="11">
        <v>2</v>
      </c>
      <c r="Z1421" s="12">
        <f t="shared" si="334"/>
        <v>0</v>
      </c>
      <c r="AA1421" s="4" t="s">
        <v>27</v>
      </c>
      <c r="AC1421" s="176">
        <f t="shared" si="330"/>
        <v>0</v>
      </c>
    </row>
    <row r="1422" spans="2:29">
      <c r="B1422" s="183">
        <f t="shared" si="335"/>
        <v>41</v>
      </c>
      <c r="C1422" s="107" t="str">
        <f t="shared" si="336"/>
        <v>ATK</v>
      </c>
      <c r="D1422" s="2" t="s">
        <v>4560</v>
      </c>
      <c r="E1422" s="3">
        <v>44110</v>
      </c>
      <c r="F1422" s="3">
        <v>44110</v>
      </c>
      <c r="G1422" s="108">
        <f t="shared" si="337"/>
        <v>10</v>
      </c>
      <c r="H1422" s="108" t="str">
        <f t="shared" si="338"/>
        <v>완료</v>
      </c>
      <c r="I1422" s="112" t="s">
        <v>218</v>
      </c>
      <c r="J1422" s="4" t="s">
        <v>121</v>
      </c>
      <c r="K1422" s="5" t="s">
        <v>136</v>
      </c>
      <c r="L1422" s="6" t="str">
        <f t="shared" si="333"/>
        <v>5T1</v>
      </c>
      <c r="M1422" s="13" t="s">
        <v>242</v>
      </c>
      <c r="N1422" s="7" t="s">
        <v>4561</v>
      </c>
      <c r="O1422" s="13" t="s">
        <v>4562</v>
      </c>
      <c r="P1422" s="115" t="s">
        <v>285</v>
      </c>
      <c r="Q1422" s="8"/>
      <c r="R1422" s="2">
        <v>1</v>
      </c>
      <c r="S1422" s="9">
        <v>1200</v>
      </c>
      <c r="T1422" s="10">
        <f t="shared" si="341"/>
        <v>600</v>
      </c>
      <c r="U1422" s="9">
        <v>10</v>
      </c>
      <c r="V1422" s="10">
        <f t="shared" si="342"/>
        <v>590</v>
      </c>
      <c r="W1422" s="4" t="s">
        <v>122</v>
      </c>
      <c r="X1422" s="2"/>
      <c r="Y1422" s="11">
        <v>2</v>
      </c>
      <c r="Z1422" s="12">
        <f t="shared" si="334"/>
        <v>0</v>
      </c>
      <c r="AA1422" s="4" t="s">
        <v>117</v>
      </c>
      <c r="AC1422" s="176">
        <f t="shared" si="330"/>
        <v>9.0909090909090905E-3</v>
      </c>
    </row>
    <row r="1423" spans="2:29">
      <c r="B1423" s="183">
        <f t="shared" si="335"/>
        <v>41</v>
      </c>
      <c r="C1423" s="107" t="str">
        <f t="shared" si="336"/>
        <v>ATK</v>
      </c>
      <c r="D1423" s="2" t="s">
        <v>4563</v>
      </c>
      <c r="E1423" s="3">
        <v>44110</v>
      </c>
      <c r="F1423" s="3">
        <v>44110</v>
      </c>
      <c r="G1423" s="108">
        <f t="shared" si="337"/>
        <v>10</v>
      </c>
      <c r="H1423" s="108" t="str">
        <f t="shared" si="338"/>
        <v>완료</v>
      </c>
      <c r="I1423" s="112" t="s">
        <v>218</v>
      </c>
      <c r="J1423" s="4" t="s">
        <v>115</v>
      </c>
      <c r="K1423" s="5" t="s">
        <v>116</v>
      </c>
      <c r="L1423" s="6" t="str">
        <f t="shared" si="333"/>
        <v>EE2</v>
      </c>
      <c r="M1423" s="13"/>
      <c r="N1423" s="7"/>
      <c r="O1423" s="13" t="s">
        <v>374</v>
      </c>
      <c r="P1423" s="115" t="s">
        <v>4564</v>
      </c>
      <c r="Q1423" s="8"/>
      <c r="R1423" s="2">
        <v>8</v>
      </c>
      <c r="S1423" s="9">
        <v>900</v>
      </c>
      <c r="T1423" s="10">
        <f t="shared" si="341"/>
        <v>3600</v>
      </c>
      <c r="U1423" s="9">
        <v>16</v>
      </c>
      <c r="V1423" s="10">
        <f t="shared" si="342"/>
        <v>3584</v>
      </c>
      <c r="W1423" s="4" t="s">
        <v>122</v>
      </c>
      <c r="X1423" s="2"/>
      <c r="Y1423" s="11">
        <v>1</v>
      </c>
      <c r="Z1423" s="12">
        <f t="shared" si="334"/>
        <v>0</v>
      </c>
      <c r="AA1423" s="4" t="s">
        <v>117</v>
      </c>
      <c r="AC1423" s="176">
        <f t="shared" si="330"/>
        <v>1.4545454545454545E-2</v>
      </c>
    </row>
    <row r="1424" spans="2:29">
      <c r="B1424" s="183">
        <f t="shared" si="335"/>
        <v>41</v>
      </c>
      <c r="C1424" s="107" t="str">
        <f t="shared" si="336"/>
        <v>ATK</v>
      </c>
      <c r="D1424" s="2" t="s">
        <v>357</v>
      </c>
      <c r="E1424" s="3">
        <v>44110</v>
      </c>
      <c r="F1424" s="3">
        <v>44110</v>
      </c>
      <c r="G1424" s="108">
        <f t="shared" si="337"/>
        <v>10</v>
      </c>
      <c r="H1424" s="108" t="str">
        <f t="shared" si="338"/>
        <v>완료</v>
      </c>
      <c r="I1424" s="112" t="s">
        <v>218</v>
      </c>
      <c r="J1424" s="4" t="s">
        <v>281</v>
      </c>
      <c r="K1424" s="5" t="s">
        <v>282</v>
      </c>
      <c r="L1424" s="6" t="str">
        <f t="shared" si="333"/>
        <v>EE1</v>
      </c>
      <c r="M1424" s="13" t="s">
        <v>216</v>
      </c>
      <c r="N1424" s="7" t="s">
        <v>314</v>
      </c>
      <c r="O1424" s="13" t="s">
        <v>230</v>
      </c>
      <c r="P1424" s="115" t="s">
        <v>1617</v>
      </c>
      <c r="Q1424" s="8"/>
      <c r="R1424" s="2">
        <v>1</v>
      </c>
      <c r="S1424" s="9">
        <v>1500</v>
      </c>
      <c r="T1424" s="10">
        <f t="shared" si="341"/>
        <v>750</v>
      </c>
      <c r="U1424" s="9">
        <v>300</v>
      </c>
      <c r="V1424" s="10">
        <f t="shared" si="342"/>
        <v>450</v>
      </c>
      <c r="W1424" s="4" t="s">
        <v>122</v>
      </c>
      <c r="X1424" s="2"/>
      <c r="Y1424" s="11">
        <v>1</v>
      </c>
      <c r="Z1424" s="12">
        <f t="shared" si="334"/>
        <v>0</v>
      </c>
      <c r="AA1424" s="4" t="s">
        <v>117</v>
      </c>
      <c r="AC1424" s="176">
        <f t="shared" si="330"/>
        <v>0.27272727272727271</v>
      </c>
    </row>
    <row r="1425" spans="2:29">
      <c r="B1425" s="183">
        <f t="shared" si="335"/>
        <v>41</v>
      </c>
      <c r="C1425" s="107" t="str">
        <f t="shared" si="336"/>
        <v>ATK</v>
      </c>
      <c r="D1425" s="2" t="s">
        <v>4565</v>
      </c>
      <c r="E1425" s="3">
        <v>44103</v>
      </c>
      <c r="F1425" s="3">
        <v>44111</v>
      </c>
      <c r="G1425" s="108">
        <f t="shared" si="337"/>
        <v>10</v>
      </c>
      <c r="H1425" s="108" t="str">
        <f t="shared" si="338"/>
        <v>완료</v>
      </c>
      <c r="I1425" s="112" t="s">
        <v>218</v>
      </c>
      <c r="J1425" s="4" t="s">
        <v>132</v>
      </c>
      <c r="K1425" s="5" t="s">
        <v>133</v>
      </c>
      <c r="L1425" s="6" t="str">
        <f t="shared" si="333"/>
        <v>3T3</v>
      </c>
      <c r="M1425" s="13" t="s">
        <v>456</v>
      </c>
      <c r="N1425" s="7" t="s">
        <v>3640</v>
      </c>
      <c r="O1425" s="13" t="s">
        <v>230</v>
      </c>
      <c r="P1425" s="115" t="s">
        <v>347</v>
      </c>
      <c r="Q1425" s="8"/>
      <c r="R1425" s="2">
        <v>1</v>
      </c>
      <c r="S1425" s="9">
        <v>560</v>
      </c>
      <c r="T1425" s="10">
        <f t="shared" si="341"/>
        <v>280</v>
      </c>
      <c r="U1425" s="9">
        <v>50</v>
      </c>
      <c r="V1425" s="10">
        <f t="shared" si="342"/>
        <v>230</v>
      </c>
      <c r="W1425" s="4" t="s">
        <v>122</v>
      </c>
      <c r="X1425" s="2"/>
      <c r="Y1425" s="11">
        <v>1</v>
      </c>
      <c r="Z1425" s="12">
        <f t="shared" si="334"/>
        <v>8</v>
      </c>
      <c r="AA1425" s="4" t="s">
        <v>117</v>
      </c>
      <c r="AC1425" s="176">
        <f t="shared" si="330"/>
        <v>4.5454545454545456E-2</v>
      </c>
    </row>
    <row r="1426" spans="2:29">
      <c r="B1426" s="183">
        <f t="shared" si="335"/>
        <v>41</v>
      </c>
      <c r="C1426" s="107" t="str">
        <f t="shared" si="336"/>
        <v>ATK</v>
      </c>
      <c r="D1426" s="2" t="s">
        <v>4566</v>
      </c>
      <c r="E1426" s="3">
        <v>44110</v>
      </c>
      <c r="F1426" s="3">
        <v>44110</v>
      </c>
      <c r="G1426" s="108">
        <f t="shared" si="337"/>
        <v>10</v>
      </c>
      <c r="H1426" s="108" t="str">
        <f t="shared" si="338"/>
        <v>완료</v>
      </c>
      <c r="I1426" s="112" t="s">
        <v>4567</v>
      </c>
      <c r="J1426" s="4" t="s">
        <v>4568</v>
      </c>
      <c r="K1426" s="5" t="s">
        <v>4569</v>
      </c>
      <c r="L1426" s="6" t="str">
        <f t="shared" si="333"/>
        <v>2T1</v>
      </c>
      <c r="M1426" s="13" t="s">
        <v>226</v>
      </c>
      <c r="N1426" s="7" t="s">
        <v>4570</v>
      </c>
      <c r="O1426" s="13" t="s">
        <v>4571</v>
      </c>
      <c r="P1426" s="115" t="s">
        <v>4572</v>
      </c>
      <c r="Q1426" s="8"/>
      <c r="R1426" s="2">
        <v>1</v>
      </c>
      <c r="S1426" s="9">
        <v>0</v>
      </c>
      <c r="T1426" s="10">
        <f t="shared" si="341"/>
        <v>0</v>
      </c>
      <c r="U1426" s="9">
        <v>0</v>
      </c>
      <c r="V1426" s="10">
        <f t="shared" si="342"/>
        <v>0</v>
      </c>
      <c r="W1426" s="4" t="s">
        <v>4573</v>
      </c>
      <c r="X1426" s="2"/>
      <c r="Y1426" s="11">
        <v>8</v>
      </c>
      <c r="Z1426" s="12">
        <f t="shared" si="334"/>
        <v>0</v>
      </c>
      <c r="AA1426" s="4" t="s">
        <v>4574</v>
      </c>
      <c r="AC1426" s="176">
        <f t="shared" si="330"/>
        <v>0</v>
      </c>
    </row>
    <row r="1427" spans="2:29">
      <c r="B1427" s="183">
        <f t="shared" si="335"/>
        <v>41</v>
      </c>
      <c r="C1427" s="107" t="str">
        <f t="shared" si="336"/>
        <v>ATK</v>
      </c>
      <c r="D1427" s="2" t="s">
        <v>4566</v>
      </c>
      <c r="E1427" s="3">
        <v>44110</v>
      </c>
      <c r="F1427" s="3">
        <v>44110</v>
      </c>
      <c r="G1427" s="108">
        <f t="shared" si="337"/>
        <v>10</v>
      </c>
      <c r="H1427" s="108" t="str">
        <f t="shared" si="338"/>
        <v>완료</v>
      </c>
      <c r="I1427" s="112" t="s">
        <v>4567</v>
      </c>
      <c r="J1427" s="4" t="s">
        <v>4568</v>
      </c>
      <c r="K1427" s="5" t="s">
        <v>4569</v>
      </c>
      <c r="L1427" s="6" t="str">
        <f t="shared" ref="L1427" si="343">LEFT(K1427,3)</f>
        <v>2T1</v>
      </c>
      <c r="M1427" s="13" t="s">
        <v>226</v>
      </c>
      <c r="N1427" s="7" t="s">
        <v>4570</v>
      </c>
      <c r="O1427" s="13" t="s">
        <v>4571</v>
      </c>
      <c r="P1427" s="115" t="s">
        <v>4572</v>
      </c>
      <c r="Q1427" s="8"/>
      <c r="R1427" s="2">
        <v>1</v>
      </c>
      <c r="S1427" s="9">
        <v>0</v>
      </c>
      <c r="T1427" s="10">
        <f t="shared" ref="T1427" si="344">(S1427*50)/100*R1427</f>
        <v>0</v>
      </c>
      <c r="U1427" s="9">
        <v>0</v>
      </c>
      <c r="V1427" s="10">
        <f t="shared" ref="V1427" si="345">T1427-U1427</f>
        <v>0</v>
      </c>
      <c r="W1427" s="4" t="s">
        <v>4573</v>
      </c>
      <c r="X1427" s="2"/>
      <c r="Y1427" s="11">
        <v>5</v>
      </c>
      <c r="Z1427" s="12">
        <f t="shared" si="334"/>
        <v>0</v>
      </c>
      <c r="AA1427" s="4" t="s">
        <v>4575</v>
      </c>
      <c r="AC1427" s="176">
        <f t="shared" si="330"/>
        <v>0</v>
      </c>
    </row>
    <row r="1428" spans="2:29">
      <c r="B1428" s="183">
        <f t="shared" si="335"/>
        <v>41</v>
      </c>
      <c r="C1428" s="107" t="str">
        <f t="shared" si="336"/>
        <v>ATK</v>
      </c>
      <c r="D1428" s="2" t="s">
        <v>4576</v>
      </c>
      <c r="E1428" s="3">
        <v>44109</v>
      </c>
      <c r="F1428" s="3">
        <v>44109</v>
      </c>
      <c r="G1428" s="108">
        <f t="shared" si="337"/>
        <v>10</v>
      </c>
      <c r="H1428" s="108" t="str">
        <f t="shared" si="338"/>
        <v>완료</v>
      </c>
      <c r="I1428" s="112" t="s">
        <v>218</v>
      </c>
      <c r="J1428" s="4" t="s">
        <v>115</v>
      </c>
      <c r="K1428" s="5" t="s">
        <v>138</v>
      </c>
      <c r="L1428" s="6" t="str">
        <f t="shared" si="333"/>
        <v>EE1</v>
      </c>
      <c r="M1428" s="13" t="s">
        <v>4577</v>
      </c>
      <c r="N1428" s="7" t="s">
        <v>4578</v>
      </c>
      <c r="O1428" s="7" t="s">
        <v>4578</v>
      </c>
      <c r="P1428" s="115" t="s">
        <v>4579</v>
      </c>
      <c r="Q1428" s="8"/>
      <c r="R1428" s="2">
        <v>1</v>
      </c>
      <c r="S1428" s="9">
        <v>1000</v>
      </c>
      <c r="T1428" s="10">
        <f t="shared" si="341"/>
        <v>500</v>
      </c>
      <c r="U1428" s="9">
        <v>100</v>
      </c>
      <c r="V1428" s="10">
        <f t="shared" si="342"/>
        <v>400</v>
      </c>
      <c r="W1428" s="4" t="s">
        <v>122</v>
      </c>
      <c r="X1428" s="2"/>
      <c r="Y1428" s="11">
        <v>8</v>
      </c>
      <c r="Z1428" s="12">
        <f t="shared" si="334"/>
        <v>0</v>
      </c>
      <c r="AA1428" s="4" t="s">
        <v>212</v>
      </c>
      <c r="AC1428" s="176">
        <f t="shared" si="330"/>
        <v>9.0909090909090912E-2</v>
      </c>
    </row>
    <row r="1429" spans="2:29">
      <c r="B1429" s="183">
        <f t="shared" si="335"/>
        <v>41</v>
      </c>
      <c r="C1429" s="107" t="str">
        <f t="shared" si="336"/>
        <v>ATK</v>
      </c>
      <c r="D1429" s="2" t="s">
        <v>4580</v>
      </c>
      <c r="E1429" s="3">
        <v>44103</v>
      </c>
      <c r="F1429" s="3">
        <v>44111</v>
      </c>
      <c r="G1429" s="108">
        <f t="shared" si="337"/>
        <v>10</v>
      </c>
      <c r="H1429" s="108" t="str">
        <f t="shared" si="338"/>
        <v>완료</v>
      </c>
      <c r="I1429" s="112" t="s">
        <v>218</v>
      </c>
      <c r="J1429" s="4" t="s">
        <v>243</v>
      </c>
      <c r="K1429" s="5" t="s">
        <v>243</v>
      </c>
      <c r="L1429" s="6" t="str">
        <f t="shared" si="333"/>
        <v>K5</v>
      </c>
      <c r="M1429" s="13" t="s">
        <v>4577</v>
      </c>
      <c r="N1429" s="7" t="s">
        <v>4581</v>
      </c>
      <c r="O1429" s="13" t="s">
        <v>4582</v>
      </c>
      <c r="P1429" s="115" t="s">
        <v>4583</v>
      </c>
      <c r="Q1429" s="8"/>
      <c r="R1429" s="2">
        <v>3</v>
      </c>
      <c r="S1429" s="9">
        <v>1000</v>
      </c>
      <c r="T1429" s="10">
        <f t="shared" si="341"/>
        <v>1500</v>
      </c>
      <c r="U1429" s="9">
        <v>100</v>
      </c>
      <c r="V1429" s="10">
        <f t="shared" si="342"/>
        <v>1400</v>
      </c>
      <c r="W1429" s="4" t="s">
        <v>122</v>
      </c>
      <c r="X1429" s="2"/>
      <c r="Y1429" s="11">
        <v>12</v>
      </c>
      <c r="Z1429" s="12">
        <f t="shared" si="334"/>
        <v>8</v>
      </c>
      <c r="AA1429" s="4" t="s">
        <v>212</v>
      </c>
      <c r="AC1429" s="176">
        <f t="shared" si="330"/>
        <v>9.0909090909090912E-2</v>
      </c>
    </row>
    <row r="1430" spans="2:29">
      <c r="B1430" s="183">
        <f t="shared" si="335"/>
        <v>41</v>
      </c>
      <c r="C1430" s="107" t="str">
        <f t="shared" si="336"/>
        <v>ATK</v>
      </c>
      <c r="D1430" s="2" t="s">
        <v>4584</v>
      </c>
      <c r="E1430" s="3">
        <v>44111</v>
      </c>
      <c r="F1430" s="3">
        <v>44111</v>
      </c>
      <c r="G1430" s="108">
        <f t="shared" si="337"/>
        <v>10</v>
      </c>
      <c r="H1430" s="108" t="str">
        <f t="shared" si="338"/>
        <v>완료</v>
      </c>
      <c r="I1430" s="112" t="s">
        <v>218</v>
      </c>
      <c r="J1430" s="4" t="s">
        <v>127</v>
      </c>
      <c r="K1430" s="5" t="s">
        <v>131</v>
      </c>
      <c r="L1430" s="6" t="str">
        <f t="shared" si="333"/>
        <v>1T4</v>
      </c>
      <c r="M1430" s="13" t="s">
        <v>4585</v>
      </c>
      <c r="N1430" s="7" t="s">
        <v>4586</v>
      </c>
      <c r="O1430" s="13" t="s">
        <v>4587</v>
      </c>
      <c r="P1430" s="115" t="s">
        <v>4588</v>
      </c>
      <c r="Q1430" s="8"/>
      <c r="R1430" s="2">
        <v>1</v>
      </c>
      <c r="S1430" s="9">
        <v>500</v>
      </c>
      <c r="T1430" s="10">
        <f t="shared" si="341"/>
        <v>250</v>
      </c>
      <c r="U1430" s="9">
        <v>10</v>
      </c>
      <c r="V1430" s="10">
        <f t="shared" si="342"/>
        <v>240</v>
      </c>
      <c r="W1430" s="4" t="s">
        <v>122</v>
      </c>
      <c r="X1430" s="2"/>
      <c r="Y1430" s="11">
        <v>3</v>
      </c>
      <c r="Z1430" s="12">
        <f t="shared" si="334"/>
        <v>0</v>
      </c>
      <c r="AA1430" s="4" t="s">
        <v>212</v>
      </c>
      <c r="AC1430" s="176">
        <f t="shared" si="330"/>
        <v>9.0909090909090905E-3</v>
      </c>
    </row>
    <row r="1431" spans="2:29">
      <c r="B1431" s="183">
        <f t="shared" si="335"/>
        <v>41</v>
      </c>
      <c r="C1431" s="107" t="str">
        <f t="shared" si="336"/>
        <v>ATK</v>
      </c>
      <c r="D1431" s="2" t="s">
        <v>4589</v>
      </c>
      <c r="E1431" s="3">
        <v>44111</v>
      </c>
      <c r="F1431" s="3">
        <v>44111</v>
      </c>
      <c r="G1431" s="108">
        <f t="shared" si="337"/>
        <v>10</v>
      </c>
      <c r="H1431" s="108" t="str">
        <f t="shared" si="338"/>
        <v>완료</v>
      </c>
      <c r="I1431" s="112" t="s">
        <v>218</v>
      </c>
      <c r="J1431" s="4" t="s">
        <v>121</v>
      </c>
      <c r="K1431" s="5" t="s">
        <v>136</v>
      </c>
      <c r="L1431" s="6" t="str">
        <f t="shared" si="333"/>
        <v>5T1</v>
      </c>
      <c r="M1431" s="13" t="s">
        <v>4590</v>
      </c>
      <c r="N1431" s="7" t="s">
        <v>4591</v>
      </c>
      <c r="O1431" s="13" t="s">
        <v>4592</v>
      </c>
      <c r="P1431" s="115" t="s">
        <v>4593</v>
      </c>
      <c r="Q1431" s="8"/>
      <c r="R1431" s="2">
        <v>1</v>
      </c>
      <c r="S1431" s="9">
        <v>1500</v>
      </c>
      <c r="T1431" s="10">
        <f t="shared" si="341"/>
        <v>750</v>
      </c>
      <c r="U1431" s="9">
        <v>0</v>
      </c>
      <c r="V1431" s="10">
        <f t="shared" si="342"/>
        <v>750</v>
      </c>
      <c r="W1431" s="4" t="s">
        <v>122</v>
      </c>
      <c r="X1431" s="2"/>
      <c r="Y1431" s="11">
        <v>1</v>
      </c>
      <c r="Z1431" s="12">
        <f t="shared" si="334"/>
        <v>0</v>
      </c>
      <c r="AA1431" s="4" t="s">
        <v>117</v>
      </c>
      <c r="AC1431" s="176">
        <f t="shared" si="330"/>
        <v>0</v>
      </c>
    </row>
    <row r="1432" spans="2:29">
      <c r="B1432" s="183">
        <f t="shared" si="335"/>
        <v>41</v>
      </c>
      <c r="C1432" s="107" t="str">
        <f t="shared" si="336"/>
        <v>ATK</v>
      </c>
      <c r="D1432" s="2" t="s">
        <v>652</v>
      </c>
      <c r="E1432" s="3">
        <v>44111</v>
      </c>
      <c r="F1432" s="3">
        <v>44111</v>
      </c>
      <c r="G1432" s="108">
        <f t="shared" si="337"/>
        <v>10</v>
      </c>
      <c r="H1432" s="108" t="str">
        <f t="shared" si="338"/>
        <v>완료</v>
      </c>
      <c r="I1432" s="112" t="s">
        <v>218</v>
      </c>
      <c r="J1432" s="4" t="s">
        <v>281</v>
      </c>
      <c r="K1432" s="5" t="s">
        <v>332</v>
      </c>
      <c r="L1432" s="6" t="str">
        <f t="shared" ref="L1432" si="346">LEFT(K1432,3)</f>
        <v>EE2</v>
      </c>
      <c r="M1432" s="13" t="s">
        <v>4536</v>
      </c>
      <c r="N1432" s="7" t="s">
        <v>4559</v>
      </c>
      <c r="O1432" s="13" t="s">
        <v>2698</v>
      </c>
      <c r="P1432" s="115" t="s">
        <v>4594</v>
      </c>
      <c r="Q1432" s="8"/>
      <c r="R1432" s="2">
        <v>1</v>
      </c>
      <c r="S1432" s="9">
        <v>3500</v>
      </c>
      <c r="T1432" s="10">
        <f t="shared" ref="T1432" si="347">(S1432*50)/100*R1432</f>
        <v>1750</v>
      </c>
      <c r="U1432" s="9">
        <v>50</v>
      </c>
      <c r="V1432" s="10">
        <f t="shared" ref="V1432" si="348">T1432-U1432</f>
        <v>1700</v>
      </c>
      <c r="W1432" s="4" t="s">
        <v>122</v>
      </c>
      <c r="X1432" s="2"/>
      <c r="Y1432" s="11">
        <v>2</v>
      </c>
      <c r="Z1432" s="12">
        <f t="shared" si="334"/>
        <v>0</v>
      </c>
      <c r="AA1432" s="4" t="s">
        <v>27</v>
      </c>
      <c r="AC1432" s="176">
        <f t="shared" si="330"/>
        <v>4.5454545454545456E-2</v>
      </c>
    </row>
    <row r="1433" spans="2:29">
      <c r="B1433" s="183">
        <f t="shared" si="335"/>
        <v>41</v>
      </c>
      <c r="C1433" s="107" t="str">
        <f t="shared" si="336"/>
        <v>ATK</v>
      </c>
      <c r="D1433" s="2" t="s">
        <v>217</v>
      </c>
      <c r="E1433" s="3">
        <v>44110</v>
      </c>
      <c r="F1433" s="3">
        <v>44110</v>
      </c>
      <c r="G1433" s="108">
        <f t="shared" si="337"/>
        <v>10</v>
      </c>
      <c r="H1433" s="108" t="str">
        <f t="shared" si="338"/>
        <v>Other</v>
      </c>
      <c r="I1433" s="112" t="s">
        <v>317</v>
      </c>
      <c r="J1433" s="4" t="s">
        <v>127</v>
      </c>
      <c r="K1433" s="5" t="s">
        <v>131</v>
      </c>
      <c r="L1433" s="6" t="str">
        <f t="shared" si="333"/>
        <v>1T4</v>
      </c>
      <c r="M1433" s="13" t="s">
        <v>4585</v>
      </c>
      <c r="N1433" s="7" t="s">
        <v>1741</v>
      </c>
      <c r="O1433" s="13" t="s">
        <v>543</v>
      </c>
      <c r="P1433" s="115" t="s">
        <v>4595</v>
      </c>
      <c r="Q1433" s="8" t="s">
        <v>4596</v>
      </c>
      <c r="R1433" s="2">
        <v>1</v>
      </c>
      <c r="S1433" s="9">
        <v>1200</v>
      </c>
      <c r="T1433" s="10">
        <f t="shared" si="341"/>
        <v>600</v>
      </c>
      <c r="U1433" s="9">
        <v>0</v>
      </c>
      <c r="V1433" s="10">
        <f t="shared" si="342"/>
        <v>600</v>
      </c>
      <c r="W1433" s="4" t="s">
        <v>122</v>
      </c>
      <c r="X1433" s="2"/>
      <c r="Y1433" s="11">
        <v>1</v>
      </c>
      <c r="Z1433" s="12">
        <f t="shared" si="334"/>
        <v>0</v>
      </c>
      <c r="AA1433" s="4" t="s">
        <v>120</v>
      </c>
      <c r="AC1433" s="176">
        <f t="shared" si="330"/>
        <v>0</v>
      </c>
    </row>
    <row r="1434" spans="2:29">
      <c r="B1434" s="183">
        <f t="shared" si="335"/>
        <v>41</v>
      </c>
      <c r="C1434" s="107" t="str">
        <f t="shared" si="336"/>
        <v>ATK</v>
      </c>
      <c r="D1434" s="2" t="s">
        <v>4597</v>
      </c>
      <c r="E1434" s="3">
        <v>44099</v>
      </c>
      <c r="F1434" s="3">
        <v>44111</v>
      </c>
      <c r="G1434" s="108">
        <f t="shared" si="337"/>
        <v>10</v>
      </c>
      <c r="H1434" s="108" t="str">
        <f t="shared" si="338"/>
        <v>완료</v>
      </c>
      <c r="I1434" s="112" t="s">
        <v>4598</v>
      </c>
      <c r="J1434" s="4" t="s">
        <v>4599</v>
      </c>
      <c r="K1434" s="5" t="s">
        <v>4600</v>
      </c>
      <c r="L1434" s="6" t="str">
        <f t="shared" si="333"/>
        <v>2T3</v>
      </c>
      <c r="M1434" s="13" t="s">
        <v>270</v>
      </c>
      <c r="N1434" s="7" t="s">
        <v>4601</v>
      </c>
      <c r="O1434" s="13" t="s">
        <v>270</v>
      </c>
      <c r="P1434" s="115" t="s">
        <v>2613</v>
      </c>
      <c r="Q1434" s="8" t="s">
        <v>4605</v>
      </c>
      <c r="R1434" s="2">
        <v>1</v>
      </c>
      <c r="S1434" s="9">
        <v>710</v>
      </c>
      <c r="T1434" s="10">
        <f t="shared" si="341"/>
        <v>355</v>
      </c>
      <c r="U1434" s="9">
        <v>25</v>
      </c>
      <c r="V1434" s="10">
        <f t="shared" si="342"/>
        <v>330</v>
      </c>
      <c r="W1434" s="4" t="s">
        <v>4602</v>
      </c>
      <c r="X1434" s="2"/>
      <c r="Y1434" s="11">
        <v>2</v>
      </c>
      <c r="Z1434" s="12">
        <f t="shared" si="334"/>
        <v>12</v>
      </c>
      <c r="AA1434" s="4" t="s">
        <v>4603</v>
      </c>
      <c r="AC1434" s="176">
        <f t="shared" si="330"/>
        <v>2.2727272727272728E-2</v>
      </c>
    </row>
    <row r="1435" spans="2:29">
      <c r="B1435" s="183">
        <f t="shared" si="335"/>
        <v>41</v>
      </c>
      <c r="C1435" s="107" t="str">
        <f t="shared" si="336"/>
        <v>ATK</v>
      </c>
      <c r="D1435" s="2" t="s">
        <v>4604</v>
      </c>
      <c r="E1435" s="3">
        <v>44111</v>
      </c>
      <c r="F1435" s="3">
        <v>44111</v>
      </c>
      <c r="G1435" s="108">
        <f t="shared" si="337"/>
        <v>10</v>
      </c>
      <c r="H1435" s="108" t="str">
        <f t="shared" si="338"/>
        <v>완료</v>
      </c>
      <c r="I1435" s="112" t="s">
        <v>4598</v>
      </c>
      <c r="J1435" s="4" t="s">
        <v>4599</v>
      </c>
      <c r="K1435" s="5" t="s">
        <v>4600</v>
      </c>
      <c r="L1435" s="6" t="str">
        <f t="shared" si="333"/>
        <v>2T3</v>
      </c>
      <c r="M1435" s="13" t="s">
        <v>270</v>
      </c>
      <c r="N1435" s="7" t="s">
        <v>4601</v>
      </c>
      <c r="O1435" s="13" t="s">
        <v>270</v>
      </c>
      <c r="P1435" s="115" t="s">
        <v>4606</v>
      </c>
      <c r="Q1435" s="8" t="s">
        <v>4607</v>
      </c>
      <c r="R1435" s="2">
        <v>1</v>
      </c>
      <c r="S1435" s="9">
        <v>710</v>
      </c>
      <c r="T1435" s="10">
        <f t="shared" si="341"/>
        <v>355</v>
      </c>
      <c r="U1435" s="9">
        <v>25</v>
      </c>
      <c r="V1435" s="10">
        <f t="shared" si="342"/>
        <v>330</v>
      </c>
      <c r="W1435" s="4" t="s">
        <v>4602</v>
      </c>
      <c r="X1435" s="2"/>
      <c r="Y1435" s="11">
        <v>2</v>
      </c>
      <c r="Z1435" s="12">
        <f t="shared" si="334"/>
        <v>0</v>
      </c>
      <c r="AA1435" s="4" t="s">
        <v>4603</v>
      </c>
      <c r="AC1435" s="176">
        <f t="shared" si="330"/>
        <v>2.2727272727272728E-2</v>
      </c>
    </row>
    <row r="1436" spans="2:29">
      <c r="B1436" s="183">
        <f t="shared" si="335"/>
        <v>41</v>
      </c>
      <c r="C1436" s="107" t="str">
        <f t="shared" si="336"/>
        <v>ATK</v>
      </c>
      <c r="D1436" s="2" t="s">
        <v>4608</v>
      </c>
      <c r="E1436" s="3">
        <v>44103</v>
      </c>
      <c r="F1436" s="3">
        <v>44111</v>
      </c>
      <c r="G1436" s="108">
        <f t="shared" si="337"/>
        <v>10</v>
      </c>
      <c r="H1436" s="108" t="str">
        <f t="shared" si="338"/>
        <v>완료</v>
      </c>
      <c r="I1436" s="112" t="s">
        <v>218</v>
      </c>
      <c r="J1436" s="4" t="s">
        <v>132</v>
      </c>
      <c r="K1436" s="5" t="s">
        <v>143</v>
      </c>
      <c r="L1436" s="6" t="str">
        <f t="shared" si="333"/>
        <v>3T4</v>
      </c>
      <c r="M1436" s="13" t="s">
        <v>158</v>
      </c>
      <c r="N1436" s="7" t="s">
        <v>3500</v>
      </c>
      <c r="O1436" s="13" t="s">
        <v>2975</v>
      </c>
      <c r="P1436" s="115" t="s">
        <v>1617</v>
      </c>
      <c r="Q1436" s="8"/>
      <c r="R1436" s="2">
        <v>1</v>
      </c>
      <c r="S1436" s="9">
        <v>1200</v>
      </c>
      <c r="T1436" s="10">
        <f t="shared" si="341"/>
        <v>600</v>
      </c>
      <c r="U1436" s="9">
        <v>100</v>
      </c>
      <c r="V1436" s="10">
        <f t="shared" si="342"/>
        <v>500</v>
      </c>
      <c r="W1436" s="4" t="s">
        <v>122</v>
      </c>
      <c r="X1436" s="2"/>
      <c r="Y1436" s="11">
        <v>1</v>
      </c>
      <c r="Z1436" s="12">
        <f t="shared" si="334"/>
        <v>8</v>
      </c>
      <c r="AA1436" s="4" t="s">
        <v>117</v>
      </c>
      <c r="AC1436" s="176">
        <f t="shared" si="330"/>
        <v>9.0909090909090912E-2</v>
      </c>
    </row>
    <row r="1437" spans="2:29">
      <c r="B1437" s="183">
        <f t="shared" si="335"/>
        <v>41</v>
      </c>
      <c r="C1437" s="107" t="str">
        <f t="shared" si="336"/>
        <v>ATK</v>
      </c>
      <c r="D1437" s="2" t="s">
        <v>4609</v>
      </c>
      <c r="E1437" s="3">
        <v>44083</v>
      </c>
      <c r="F1437" s="3">
        <v>44111</v>
      </c>
      <c r="G1437" s="108">
        <f t="shared" si="337"/>
        <v>10</v>
      </c>
      <c r="H1437" s="108" t="str">
        <f t="shared" si="338"/>
        <v>완료</v>
      </c>
      <c r="I1437" s="112" t="s">
        <v>4610</v>
      </c>
      <c r="J1437" s="4" t="s">
        <v>4611</v>
      </c>
      <c r="K1437" s="5" t="s">
        <v>4611</v>
      </c>
      <c r="L1437" s="6" t="str">
        <f t="shared" si="333"/>
        <v>QA</v>
      </c>
      <c r="M1437" s="13" t="s">
        <v>270</v>
      </c>
      <c r="N1437" s="7" t="s">
        <v>4612</v>
      </c>
      <c r="O1437" s="13" t="s">
        <v>270</v>
      </c>
      <c r="P1437" s="115" t="s">
        <v>4613</v>
      </c>
      <c r="Q1437" s="8" t="s">
        <v>4614</v>
      </c>
      <c r="R1437" s="2">
        <v>1</v>
      </c>
      <c r="S1437" s="9">
        <v>1600</v>
      </c>
      <c r="T1437" s="10">
        <f t="shared" si="341"/>
        <v>800</v>
      </c>
      <c r="U1437" s="9">
        <v>0</v>
      </c>
      <c r="V1437" s="10">
        <f t="shared" si="342"/>
        <v>800</v>
      </c>
      <c r="W1437" s="4" t="s">
        <v>4615</v>
      </c>
      <c r="X1437" s="2"/>
      <c r="Y1437" s="11">
        <v>1</v>
      </c>
      <c r="Z1437" s="12">
        <f t="shared" si="334"/>
        <v>28</v>
      </c>
      <c r="AA1437" s="4" t="s">
        <v>4616</v>
      </c>
      <c r="AC1437" s="176">
        <f t="shared" si="330"/>
        <v>0</v>
      </c>
    </row>
    <row r="1438" spans="2:29">
      <c r="B1438" s="183">
        <f t="shared" si="335"/>
        <v>41</v>
      </c>
      <c r="C1438" s="107" t="str">
        <f t="shared" si="336"/>
        <v>ATK</v>
      </c>
      <c r="D1438" s="2" t="s">
        <v>4617</v>
      </c>
      <c r="E1438" s="3">
        <v>44097</v>
      </c>
      <c r="F1438" s="3">
        <v>44111</v>
      </c>
      <c r="G1438" s="108">
        <f t="shared" si="337"/>
        <v>10</v>
      </c>
      <c r="H1438" s="108" t="str">
        <f t="shared" si="338"/>
        <v>완료</v>
      </c>
      <c r="I1438" s="112" t="s">
        <v>4610</v>
      </c>
      <c r="J1438" s="4" t="s">
        <v>4618</v>
      </c>
      <c r="K1438" s="5" t="s">
        <v>4619</v>
      </c>
      <c r="L1438" s="6" t="str">
        <f t="shared" si="333"/>
        <v>3T4</v>
      </c>
      <c r="M1438" s="13" t="s">
        <v>270</v>
      </c>
      <c r="N1438" s="7" t="s">
        <v>4620</v>
      </c>
      <c r="O1438" s="13" t="s">
        <v>270</v>
      </c>
      <c r="P1438" s="115" t="s">
        <v>4621</v>
      </c>
      <c r="Q1438" s="8" t="s">
        <v>4622</v>
      </c>
      <c r="R1438" s="2">
        <v>1</v>
      </c>
      <c r="S1438" s="9">
        <v>710</v>
      </c>
      <c r="T1438" s="10">
        <f t="shared" si="341"/>
        <v>355</v>
      </c>
      <c r="U1438" s="9">
        <v>25</v>
      </c>
      <c r="V1438" s="10">
        <f t="shared" si="342"/>
        <v>330</v>
      </c>
      <c r="W1438" s="4" t="s">
        <v>4615</v>
      </c>
      <c r="X1438" s="2"/>
      <c r="Y1438" s="11">
        <v>2</v>
      </c>
      <c r="Z1438" s="12">
        <f t="shared" si="334"/>
        <v>14</v>
      </c>
      <c r="AA1438" s="4" t="s">
        <v>4616</v>
      </c>
      <c r="AC1438" s="176">
        <f t="shared" si="330"/>
        <v>2.2727272727272728E-2</v>
      </c>
    </row>
    <row r="1439" spans="2:29">
      <c r="B1439" s="183">
        <f t="shared" si="335"/>
        <v>42</v>
      </c>
      <c r="C1439" s="107" t="str">
        <f t="shared" si="336"/>
        <v>ATK</v>
      </c>
      <c r="D1439" s="2" t="s">
        <v>463</v>
      </c>
      <c r="E1439" s="3">
        <v>44076</v>
      </c>
      <c r="F1439" s="3">
        <v>44116</v>
      </c>
      <c r="G1439" s="108">
        <f t="shared" si="337"/>
        <v>10</v>
      </c>
      <c r="H1439" s="108" t="str">
        <f t="shared" si="338"/>
        <v>완료</v>
      </c>
      <c r="I1439" s="112" t="s">
        <v>218</v>
      </c>
      <c r="J1439" s="4" t="s">
        <v>804</v>
      </c>
      <c r="K1439" s="5" t="s">
        <v>805</v>
      </c>
      <c r="L1439" s="6" t="str">
        <f t="shared" si="333"/>
        <v>5T1</v>
      </c>
      <c r="M1439" s="13" t="s">
        <v>730</v>
      </c>
      <c r="N1439" s="7" t="s">
        <v>193</v>
      </c>
      <c r="O1439" s="13" t="s">
        <v>4623</v>
      </c>
      <c r="P1439" s="115"/>
      <c r="Q1439" s="8"/>
      <c r="R1439" s="2">
        <v>3</v>
      </c>
      <c r="S1439" s="9">
        <v>400</v>
      </c>
      <c r="T1439" s="10">
        <f t="shared" si="341"/>
        <v>600</v>
      </c>
      <c r="U1439" s="9">
        <v>5</v>
      </c>
      <c r="V1439" s="10">
        <f t="shared" si="342"/>
        <v>595</v>
      </c>
      <c r="W1439" s="4" t="s">
        <v>249</v>
      </c>
      <c r="X1439" s="2"/>
      <c r="Y1439" s="11">
        <v>2</v>
      </c>
      <c r="Z1439" s="12">
        <f t="shared" si="334"/>
        <v>40</v>
      </c>
      <c r="AA1439" s="4" t="s">
        <v>27</v>
      </c>
      <c r="AC1439" s="176">
        <f t="shared" si="330"/>
        <v>4.5454545454545452E-3</v>
      </c>
    </row>
    <row r="1440" spans="2:29">
      <c r="B1440" s="183">
        <f t="shared" si="335"/>
        <v>41</v>
      </c>
      <c r="C1440" s="107" t="str">
        <f t="shared" si="336"/>
        <v>ATK</v>
      </c>
      <c r="D1440" s="2" t="s">
        <v>4624</v>
      </c>
      <c r="E1440" s="3">
        <v>44112</v>
      </c>
      <c r="F1440" s="3">
        <v>44112</v>
      </c>
      <c r="G1440" s="108">
        <f t="shared" si="337"/>
        <v>10</v>
      </c>
      <c r="H1440" s="108" t="str">
        <f t="shared" si="338"/>
        <v>완료</v>
      </c>
      <c r="I1440" s="112" t="s">
        <v>218</v>
      </c>
      <c r="J1440" s="4" t="s">
        <v>132</v>
      </c>
      <c r="K1440" s="5" t="s">
        <v>322</v>
      </c>
      <c r="L1440" s="6" t="str">
        <f t="shared" si="333"/>
        <v>3T1</v>
      </c>
      <c r="M1440" s="13" t="s">
        <v>955</v>
      </c>
      <c r="N1440" s="7" t="s">
        <v>588</v>
      </c>
      <c r="O1440" s="13" t="s">
        <v>4625</v>
      </c>
      <c r="P1440" s="115" t="s">
        <v>285</v>
      </c>
      <c r="Q1440" s="8"/>
      <c r="R1440" s="2">
        <v>1</v>
      </c>
      <c r="S1440" s="9">
        <v>1200</v>
      </c>
      <c r="T1440" s="10">
        <f t="shared" si="341"/>
        <v>600</v>
      </c>
      <c r="U1440" s="9">
        <v>5</v>
      </c>
      <c r="V1440" s="10">
        <f t="shared" si="342"/>
        <v>595</v>
      </c>
      <c r="W1440" s="4" t="s">
        <v>122</v>
      </c>
      <c r="X1440" s="2"/>
      <c r="Y1440" s="11">
        <v>2</v>
      </c>
      <c r="Z1440" s="12">
        <f t="shared" si="334"/>
        <v>0</v>
      </c>
      <c r="AA1440" s="4" t="s">
        <v>117</v>
      </c>
      <c r="AC1440" s="176">
        <f t="shared" si="330"/>
        <v>4.5454545454545452E-3</v>
      </c>
    </row>
    <row r="1441" spans="2:29">
      <c r="B1441" s="183">
        <f t="shared" si="335"/>
        <v>41</v>
      </c>
      <c r="C1441" s="107" t="str">
        <f t="shared" si="336"/>
        <v>ATK</v>
      </c>
      <c r="D1441" s="2" t="s">
        <v>4626</v>
      </c>
      <c r="E1441" s="3">
        <v>44083</v>
      </c>
      <c r="F1441" s="3">
        <v>44112</v>
      </c>
      <c r="G1441" s="108">
        <f t="shared" si="337"/>
        <v>10</v>
      </c>
      <c r="H1441" s="108" t="str">
        <f t="shared" si="338"/>
        <v>완료</v>
      </c>
      <c r="I1441" s="112" t="s">
        <v>4627</v>
      </c>
      <c r="J1441" s="4" t="s">
        <v>4628</v>
      </c>
      <c r="K1441" s="5" t="s">
        <v>4629</v>
      </c>
      <c r="L1441" s="6" t="str">
        <f t="shared" si="333"/>
        <v>1T3</v>
      </c>
      <c r="M1441" s="13" t="s">
        <v>270</v>
      </c>
      <c r="N1441" s="7" t="s">
        <v>4630</v>
      </c>
      <c r="O1441" s="13" t="s">
        <v>270</v>
      </c>
      <c r="P1441" s="115" t="s">
        <v>4631</v>
      </c>
      <c r="Q1441" s="8" t="s">
        <v>4632</v>
      </c>
      <c r="R1441" s="2">
        <v>1</v>
      </c>
      <c r="S1441" s="9">
        <v>910</v>
      </c>
      <c r="T1441" s="10">
        <f t="shared" si="341"/>
        <v>455</v>
      </c>
      <c r="U1441" s="9">
        <v>50</v>
      </c>
      <c r="V1441" s="10">
        <f t="shared" si="342"/>
        <v>405</v>
      </c>
      <c r="W1441" s="4" t="s">
        <v>4633</v>
      </c>
      <c r="X1441" s="2"/>
      <c r="Y1441" s="11">
        <v>2</v>
      </c>
      <c r="Z1441" s="12">
        <f t="shared" si="334"/>
        <v>29</v>
      </c>
      <c r="AA1441" s="4" t="s">
        <v>4634</v>
      </c>
      <c r="AC1441" s="176">
        <f t="shared" si="330"/>
        <v>4.5454545454545456E-2</v>
      </c>
    </row>
    <row r="1442" spans="2:29">
      <c r="B1442" s="183">
        <f t="shared" si="335"/>
        <v>41</v>
      </c>
      <c r="C1442" s="107" t="str">
        <f t="shared" si="336"/>
        <v>ATK</v>
      </c>
      <c r="D1442" s="2" t="s">
        <v>4635</v>
      </c>
      <c r="E1442" s="3">
        <v>44083</v>
      </c>
      <c r="F1442" s="3">
        <v>44112</v>
      </c>
      <c r="G1442" s="108">
        <f t="shared" si="337"/>
        <v>10</v>
      </c>
      <c r="H1442" s="108" t="str">
        <f t="shared" si="338"/>
        <v>완료</v>
      </c>
      <c r="I1442" s="112" t="s">
        <v>4636</v>
      </c>
      <c r="J1442" s="4" t="s">
        <v>4637</v>
      </c>
      <c r="K1442" s="5" t="s">
        <v>4638</v>
      </c>
      <c r="L1442" s="6" t="str">
        <f t="shared" si="333"/>
        <v>5T1</v>
      </c>
      <c r="M1442" s="13" t="s">
        <v>270</v>
      </c>
      <c r="N1442" s="7" t="s">
        <v>4639</v>
      </c>
      <c r="O1442" s="13" t="s">
        <v>270</v>
      </c>
      <c r="P1442" s="115" t="s">
        <v>4640</v>
      </c>
      <c r="Q1442" s="8" t="s">
        <v>4641</v>
      </c>
      <c r="R1442" s="2">
        <v>1</v>
      </c>
      <c r="S1442" s="9">
        <v>710</v>
      </c>
      <c r="T1442" s="10">
        <f t="shared" si="341"/>
        <v>355</v>
      </c>
      <c r="U1442" s="9">
        <v>5</v>
      </c>
      <c r="V1442" s="10">
        <f t="shared" si="342"/>
        <v>350</v>
      </c>
      <c r="W1442" s="4" t="s">
        <v>4633</v>
      </c>
      <c r="X1442" s="2"/>
      <c r="Y1442" s="11">
        <v>1</v>
      </c>
      <c r="Z1442" s="12">
        <f t="shared" si="334"/>
        <v>29</v>
      </c>
      <c r="AA1442" s="4" t="s">
        <v>4634</v>
      </c>
      <c r="AC1442" s="176">
        <f t="shared" si="330"/>
        <v>4.5454545454545452E-3</v>
      </c>
    </row>
    <row r="1443" spans="2:29">
      <c r="B1443" s="183">
        <f t="shared" si="335"/>
        <v>41</v>
      </c>
      <c r="C1443" s="107" t="str">
        <f t="shared" si="336"/>
        <v>ATK</v>
      </c>
      <c r="D1443" s="2" t="s">
        <v>1393</v>
      </c>
      <c r="E1443" s="3">
        <v>44111</v>
      </c>
      <c r="F1443" s="3">
        <v>44112</v>
      </c>
      <c r="G1443" s="108">
        <f t="shared" si="337"/>
        <v>10</v>
      </c>
      <c r="H1443" s="108" t="str">
        <f t="shared" si="338"/>
        <v>완료</v>
      </c>
      <c r="I1443" s="112" t="s">
        <v>4642</v>
      </c>
      <c r="J1443" s="4" t="s">
        <v>4643</v>
      </c>
      <c r="K1443" s="5" t="s">
        <v>4644</v>
      </c>
      <c r="L1443" s="6" t="str">
        <f t="shared" si="333"/>
        <v>2T1</v>
      </c>
      <c r="M1443" s="13" t="s">
        <v>270</v>
      </c>
      <c r="N1443" s="7" t="s">
        <v>4645</v>
      </c>
      <c r="O1443" s="13" t="s">
        <v>270</v>
      </c>
      <c r="P1443" s="115" t="s">
        <v>4646</v>
      </c>
      <c r="Q1443" s="8" t="s">
        <v>4647</v>
      </c>
      <c r="R1443" s="2">
        <v>1</v>
      </c>
      <c r="S1443" s="9">
        <v>910</v>
      </c>
      <c r="T1443" s="10">
        <f t="shared" si="341"/>
        <v>455</v>
      </c>
      <c r="U1443" s="9">
        <v>20</v>
      </c>
      <c r="V1443" s="10">
        <f t="shared" si="342"/>
        <v>435</v>
      </c>
      <c r="W1443" s="4" t="s">
        <v>4649</v>
      </c>
      <c r="X1443" s="2"/>
      <c r="Y1443" s="11">
        <v>1</v>
      </c>
      <c r="Z1443" s="12">
        <f t="shared" si="334"/>
        <v>1</v>
      </c>
      <c r="AA1443" s="4" t="s">
        <v>4648</v>
      </c>
      <c r="AC1443" s="176">
        <f t="shared" si="330"/>
        <v>1.8181818181818181E-2</v>
      </c>
    </row>
    <row r="1444" spans="2:29">
      <c r="B1444" s="183">
        <f t="shared" si="335"/>
        <v>41</v>
      </c>
      <c r="C1444" s="107" t="str">
        <f t="shared" si="336"/>
        <v>ATK</v>
      </c>
      <c r="D1444" s="2" t="s">
        <v>4650</v>
      </c>
      <c r="E1444" s="3">
        <v>44099</v>
      </c>
      <c r="F1444" s="3">
        <v>44112</v>
      </c>
      <c r="G1444" s="108">
        <f t="shared" si="337"/>
        <v>10</v>
      </c>
      <c r="H1444" s="108" t="str">
        <f t="shared" si="338"/>
        <v>Other</v>
      </c>
      <c r="I1444" s="112" t="s">
        <v>4651</v>
      </c>
      <c r="J1444" s="4" t="s">
        <v>4643</v>
      </c>
      <c r="K1444" s="5" t="s">
        <v>621</v>
      </c>
      <c r="L1444" s="6" t="str">
        <f t="shared" si="333"/>
        <v>2T3</v>
      </c>
      <c r="M1444" s="13" t="s">
        <v>270</v>
      </c>
      <c r="N1444" s="7" t="s">
        <v>4652</v>
      </c>
      <c r="O1444" s="13" t="s">
        <v>270</v>
      </c>
      <c r="P1444" s="115" t="s">
        <v>4653</v>
      </c>
      <c r="Q1444" s="8" t="s">
        <v>4655</v>
      </c>
      <c r="R1444" s="2">
        <v>1</v>
      </c>
      <c r="S1444" s="9">
        <v>0</v>
      </c>
      <c r="T1444" s="10">
        <f t="shared" si="341"/>
        <v>0</v>
      </c>
      <c r="U1444" s="9">
        <v>0</v>
      </c>
      <c r="V1444" s="10">
        <f t="shared" si="342"/>
        <v>0</v>
      </c>
      <c r="W1444" s="4" t="s">
        <v>4654</v>
      </c>
      <c r="X1444" s="2"/>
      <c r="Y1444" s="11">
        <v>1</v>
      </c>
      <c r="Z1444" s="12">
        <f t="shared" si="334"/>
        <v>13</v>
      </c>
      <c r="AA1444" s="4" t="s">
        <v>4648</v>
      </c>
      <c r="AC1444" s="176">
        <f t="shared" si="330"/>
        <v>0</v>
      </c>
    </row>
    <row r="1445" spans="2:29">
      <c r="B1445" s="183">
        <f t="shared" si="335"/>
        <v>41</v>
      </c>
      <c r="C1445" s="107" t="str">
        <f t="shared" si="336"/>
        <v>ATK</v>
      </c>
      <c r="D1445" s="2" t="s">
        <v>1865</v>
      </c>
      <c r="E1445" s="3">
        <v>44079</v>
      </c>
      <c r="F1445" s="3">
        <v>44112</v>
      </c>
      <c r="G1445" s="108">
        <f t="shared" si="337"/>
        <v>10</v>
      </c>
      <c r="H1445" s="108" t="str">
        <f t="shared" si="338"/>
        <v>완료</v>
      </c>
      <c r="I1445" s="112" t="s">
        <v>218</v>
      </c>
      <c r="J1445" s="4" t="s">
        <v>748</v>
      </c>
      <c r="K1445" s="5" t="s">
        <v>177</v>
      </c>
      <c r="L1445" s="6" t="str">
        <f t="shared" si="333"/>
        <v>Bum</v>
      </c>
      <c r="M1445" s="13" t="s">
        <v>1374</v>
      </c>
      <c r="N1445" s="7" t="s">
        <v>4656</v>
      </c>
      <c r="O1445" s="13" t="s">
        <v>4657</v>
      </c>
      <c r="P1445" s="115" t="s">
        <v>4658</v>
      </c>
      <c r="Q1445" s="8" t="s">
        <v>4659</v>
      </c>
      <c r="R1445" s="2">
        <v>1</v>
      </c>
      <c r="S1445" s="9">
        <v>12000</v>
      </c>
      <c r="T1445" s="10">
        <f t="shared" si="341"/>
        <v>6000</v>
      </c>
      <c r="U1445" s="9">
        <v>0</v>
      </c>
      <c r="V1445" s="10">
        <f t="shared" si="342"/>
        <v>6000</v>
      </c>
      <c r="W1445" s="4" t="s">
        <v>122</v>
      </c>
      <c r="X1445" s="2"/>
      <c r="Y1445" s="11">
        <v>8</v>
      </c>
      <c r="Z1445" s="12">
        <f t="shared" si="334"/>
        <v>33</v>
      </c>
      <c r="AA1445" s="4" t="s">
        <v>120</v>
      </c>
      <c r="AC1445" s="176">
        <f t="shared" si="330"/>
        <v>0</v>
      </c>
    </row>
    <row r="1446" spans="2:29">
      <c r="B1446" s="183">
        <f t="shared" si="335"/>
        <v>41</v>
      </c>
      <c r="C1446" s="107" t="str">
        <f t="shared" si="336"/>
        <v>ATK</v>
      </c>
      <c r="D1446" s="2" t="s">
        <v>590</v>
      </c>
      <c r="E1446" s="3">
        <v>44112</v>
      </c>
      <c r="F1446" s="3">
        <v>44112</v>
      </c>
      <c r="G1446" s="108">
        <f t="shared" si="337"/>
        <v>10</v>
      </c>
      <c r="H1446" s="108" t="str">
        <f t="shared" si="338"/>
        <v>완료</v>
      </c>
      <c r="I1446" s="112" t="s">
        <v>218</v>
      </c>
      <c r="J1446" s="4" t="s">
        <v>499</v>
      </c>
      <c r="K1446" s="5" t="s">
        <v>499</v>
      </c>
      <c r="L1446" s="6" t="str">
        <f t="shared" si="333"/>
        <v>QA</v>
      </c>
      <c r="M1446" s="13" t="s">
        <v>4660</v>
      </c>
      <c r="N1446" s="7" t="s">
        <v>4395</v>
      </c>
      <c r="O1446" s="13" t="s">
        <v>4661</v>
      </c>
      <c r="P1446" s="115" t="s">
        <v>4662</v>
      </c>
      <c r="Q1446" s="8" t="s">
        <v>4398</v>
      </c>
      <c r="R1446" s="2">
        <v>1</v>
      </c>
      <c r="S1446" s="9">
        <v>1100</v>
      </c>
      <c r="T1446" s="10">
        <f t="shared" si="341"/>
        <v>550</v>
      </c>
      <c r="U1446" s="9">
        <v>2</v>
      </c>
      <c r="V1446" s="10">
        <f t="shared" si="342"/>
        <v>548</v>
      </c>
      <c r="W1446" s="4" t="s">
        <v>122</v>
      </c>
      <c r="X1446" s="2"/>
      <c r="Y1446" s="11">
        <v>4</v>
      </c>
      <c r="Z1446" s="12">
        <f t="shared" si="334"/>
        <v>0</v>
      </c>
      <c r="AA1446" s="4" t="s">
        <v>120</v>
      </c>
      <c r="AC1446" s="176">
        <f t="shared" si="330"/>
        <v>1.8181818181818182E-3</v>
      </c>
    </row>
    <row r="1447" spans="2:29">
      <c r="B1447" s="183">
        <f t="shared" si="335"/>
        <v>41</v>
      </c>
      <c r="C1447" s="107" t="str">
        <f t="shared" si="336"/>
        <v>ATK</v>
      </c>
      <c r="D1447" s="2" t="s">
        <v>4663</v>
      </c>
      <c r="E1447" s="3">
        <v>44099</v>
      </c>
      <c r="F1447" s="3">
        <v>44112</v>
      </c>
      <c r="G1447" s="108">
        <f t="shared" si="337"/>
        <v>10</v>
      </c>
      <c r="H1447" s="108" t="str">
        <f t="shared" si="338"/>
        <v>완료</v>
      </c>
      <c r="I1447" s="112" t="s">
        <v>4664</v>
      </c>
      <c r="J1447" s="4" t="s">
        <v>547</v>
      </c>
      <c r="K1447" s="5" t="s">
        <v>548</v>
      </c>
      <c r="L1447" s="6" t="str">
        <f t="shared" si="333"/>
        <v>6T2</v>
      </c>
      <c r="M1447" s="13" t="s">
        <v>4665</v>
      </c>
      <c r="N1447" s="7" t="s">
        <v>4666</v>
      </c>
      <c r="O1447" s="13" t="s">
        <v>270</v>
      </c>
      <c r="P1447" s="115" t="s">
        <v>4667</v>
      </c>
      <c r="Q1447" s="8" t="s">
        <v>4668</v>
      </c>
      <c r="R1447" s="2">
        <v>1</v>
      </c>
      <c r="S1447" s="9">
        <v>910</v>
      </c>
      <c r="T1447" s="10">
        <f t="shared" si="341"/>
        <v>455</v>
      </c>
      <c r="U1447" s="9">
        <v>50</v>
      </c>
      <c r="V1447" s="10">
        <f t="shared" si="342"/>
        <v>405</v>
      </c>
      <c r="W1447" s="4" t="s">
        <v>4669</v>
      </c>
      <c r="X1447" s="2"/>
      <c r="Y1447" s="11">
        <v>1</v>
      </c>
      <c r="Z1447" s="12">
        <f t="shared" si="334"/>
        <v>13</v>
      </c>
      <c r="AA1447" s="4" t="s">
        <v>4670</v>
      </c>
      <c r="AC1447" s="176">
        <f t="shared" si="330"/>
        <v>4.5454545454545456E-2</v>
      </c>
    </row>
    <row r="1448" spans="2:29">
      <c r="B1448" s="183">
        <f t="shared" si="335"/>
        <v>45</v>
      </c>
      <c r="C1448" s="107" t="str">
        <f t="shared" si="336"/>
        <v>ATK</v>
      </c>
      <c r="D1448" s="2" t="s">
        <v>455</v>
      </c>
      <c r="E1448" s="3">
        <v>44089</v>
      </c>
      <c r="F1448" s="3">
        <v>44141</v>
      </c>
      <c r="G1448" s="108">
        <f t="shared" si="337"/>
        <v>11</v>
      </c>
      <c r="H1448" s="108" t="str">
        <f t="shared" si="338"/>
        <v>완료</v>
      </c>
      <c r="I1448" s="112" t="s">
        <v>218</v>
      </c>
      <c r="J1448" s="4" t="s">
        <v>132</v>
      </c>
      <c r="K1448" s="5" t="s">
        <v>119</v>
      </c>
      <c r="L1448" s="6" t="str">
        <f t="shared" si="333"/>
        <v>2T3</v>
      </c>
      <c r="M1448" s="13" t="s">
        <v>730</v>
      </c>
      <c r="N1448" s="7" t="s">
        <v>4445</v>
      </c>
      <c r="O1448" s="13" t="s">
        <v>4446</v>
      </c>
      <c r="P1448" s="115" t="s">
        <v>4671</v>
      </c>
      <c r="Q1448" s="8"/>
      <c r="R1448" s="2">
        <v>1</v>
      </c>
      <c r="S1448" s="9">
        <v>1000</v>
      </c>
      <c r="T1448" s="10">
        <f t="shared" si="341"/>
        <v>500</v>
      </c>
      <c r="U1448" s="9">
        <v>50</v>
      </c>
      <c r="V1448" s="10">
        <f t="shared" si="342"/>
        <v>450</v>
      </c>
      <c r="W1448" s="4" t="s">
        <v>122</v>
      </c>
      <c r="X1448" s="2"/>
      <c r="Y1448" s="11">
        <v>2</v>
      </c>
      <c r="Z1448" s="12">
        <f t="shared" si="334"/>
        <v>52</v>
      </c>
      <c r="AA1448" s="4" t="s">
        <v>27</v>
      </c>
      <c r="AC1448" s="176">
        <f t="shared" si="330"/>
        <v>4.5454545454545456E-2</v>
      </c>
    </row>
    <row r="1449" spans="2:29">
      <c r="B1449" s="183">
        <f t="shared" si="335"/>
        <v>42</v>
      </c>
      <c r="C1449" s="107" t="str">
        <f t="shared" si="336"/>
        <v>ATK</v>
      </c>
      <c r="D1449" s="2" t="s">
        <v>4672</v>
      </c>
      <c r="E1449" s="3">
        <v>44112</v>
      </c>
      <c r="F1449" s="3">
        <v>44116</v>
      </c>
      <c r="G1449" s="108">
        <f t="shared" si="337"/>
        <v>10</v>
      </c>
      <c r="H1449" s="108" t="str">
        <f t="shared" si="338"/>
        <v>완료</v>
      </c>
      <c r="I1449" s="112" t="s">
        <v>4673</v>
      </c>
      <c r="J1449" s="4" t="s">
        <v>265</v>
      </c>
      <c r="K1449" s="5" t="s">
        <v>266</v>
      </c>
      <c r="L1449" s="6" t="str">
        <f t="shared" si="333"/>
        <v>3T4</v>
      </c>
      <c r="M1449" s="13" t="s">
        <v>4674</v>
      </c>
      <c r="N1449" s="7" t="s">
        <v>4679</v>
      </c>
      <c r="O1449" s="13" t="s">
        <v>4675</v>
      </c>
      <c r="P1449" s="115" t="s">
        <v>4676</v>
      </c>
      <c r="Q1449" s="8"/>
      <c r="R1449" s="2">
        <v>1</v>
      </c>
      <c r="S1449" s="9">
        <v>1300</v>
      </c>
      <c r="T1449" s="10">
        <f t="shared" si="341"/>
        <v>650</v>
      </c>
      <c r="U1449" s="9">
        <v>5</v>
      </c>
      <c r="V1449" s="10">
        <f t="shared" si="342"/>
        <v>645</v>
      </c>
      <c r="W1449" s="4" t="s">
        <v>4677</v>
      </c>
      <c r="X1449" s="2"/>
      <c r="Y1449" s="11">
        <v>3</v>
      </c>
      <c r="Z1449" s="12">
        <f t="shared" si="334"/>
        <v>4</v>
      </c>
      <c r="AA1449" s="4" t="s">
        <v>4678</v>
      </c>
      <c r="AC1449" s="176">
        <f t="shared" si="330"/>
        <v>4.5454545454545452E-3</v>
      </c>
    </row>
    <row r="1450" spans="2:29">
      <c r="B1450" s="183">
        <f t="shared" si="335"/>
        <v>42</v>
      </c>
      <c r="C1450" s="107" t="str">
        <f t="shared" si="336"/>
        <v>ATK</v>
      </c>
      <c r="D1450" s="2" t="s">
        <v>217</v>
      </c>
      <c r="E1450" s="3">
        <v>44116</v>
      </c>
      <c r="F1450" s="3">
        <v>44116</v>
      </c>
      <c r="G1450" s="108">
        <f t="shared" si="337"/>
        <v>10</v>
      </c>
      <c r="H1450" s="108" t="str">
        <f t="shared" si="338"/>
        <v>완료</v>
      </c>
      <c r="I1450" s="112" t="s">
        <v>218</v>
      </c>
      <c r="J1450" s="4" t="s">
        <v>127</v>
      </c>
      <c r="K1450" s="5" t="s">
        <v>131</v>
      </c>
      <c r="L1450" s="6" t="str">
        <f t="shared" si="333"/>
        <v>1T4</v>
      </c>
      <c r="M1450" s="13" t="s">
        <v>1417</v>
      </c>
      <c r="N1450" s="7" t="s">
        <v>4680</v>
      </c>
      <c r="O1450" s="13" t="s">
        <v>4681</v>
      </c>
      <c r="P1450" s="115" t="s">
        <v>4682</v>
      </c>
      <c r="Q1450" s="8" t="s">
        <v>4683</v>
      </c>
      <c r="R1450" s="2">
        <v>1</v>
      </c>
      <c r="S1450" s="9">
        <v>270</v>
      </c>
      <c r="T1450" s="10">
        <f t="shared" si="341"/>
        <v>135</v>
      </c>
      <c r="U1450" s="9">
        <v>0</v>
      </c>
      <c r="V1450" s="10">
        <f t="shared" si="342"/>
        <v>135</v>
      </c>
      <c r="W1450" s="4" t="s">
        <v>122</v>
      </c>
      <c r="X1450" s="2"/>
      <c r="Y1450" s="11">
        <v>3</v>
      </c>
      <c r="Z1450" s="12">
        <f t="shared" si="334"/>
        <v>0</v>
      </c>
      <c r="AA1450" s="4" t="s">
        <v>120</v>
      </c>
      <c r="AC1450" s="176">
        <f t="shared" si="330"/>
        <v>0</v>
      </c>
    </row>
    <row r="1451" spans="2:29">
      <c r="B1451" s="183">
        <f t="shared" si="335"/>
        <v>42</v>
      </c>
      <c r="C1451" s="107" t="str">
        <f t="shared" si="336"/>
        <v>ATK</v>
      </c>
      <c r="D1451" s="2" t="s">
        <v>223</v>
      </c>
      <c r="E1451" s="3">
        <v>44116</v>
      </c>
      <c r="F1451" s="3">
        <v>44116</v>
      </c>
      <c r="G1451" s="108">
        <f t="shared" si="337"/>
        <v>10</v>
      </c>
      <c r="H1451" s="108" t="str">
        <f t="shared" si="338"/>
        <v>완료</v>
      </c>
      <c r="I1451" s="112" t="s">
        <v>218</v>
      </c>
      <c r="J1451" s="4" t="s">
        <v>121</v>
      </c>
      <c r="K1451" s="5" t="s">
        <v>229</v>
      </c>
      <c r="L1451" s="6" t="str">
        <f t="shared" si="333"/>
        <v>5T2</v>
      </c>
      <c r="M1451" s="13" t="s">
        <v>4440</v>
      </c>
      <c r="N1451" s="7" t="s">
        <v>4684</v>
      </c>
      <c r="O1451" s="13" t="s">
        <v>4192</v>
      </c>
      <c r="P1451" s="115" t="s">
        <v>4685</v>
      </c>
      <c r="Q1451" s="8" t="s">
        <v>5564</v>
      </c>
      <c r="R1451" s="2">
        <v>1</v>
      </c>
      <c r="S1451" s="9">
        <v>4000</v>
      </c>
      <c r="T1451" s="10">
        <f t="shared" si="341"/>
        <v>2000</v>
      </c>
      <c r="U1451" s="9">
        <v>1</v>
      </c>
      <c r="V1451" s="10">
        <f t="shared" si="342"/>
        <v>1999</v>
      </c>
      <c r="W1451" s="4" t="s">
        <v>122</v>
      </c>
      <c r="X1451" s="2"/>
      <c r="Y1451" s="11">
        <v>4</v>
      </c>
      <c r="Z1451" s="12">
        <f t="shared" si="334"/>
        <v>0</v>
      </c>
      <c r="AA1451" s="4" t="s">
        <v>120</v>
      </c>
      <c r="AC1451" s="176">
        <f t="shared" si="330"/>
        <v>9.0909090909090909E-4</v>
      </c>
    </row>
    <row r="1452" spans="2:29">
      <c r="B1452" s="183">
        <f t="shared" si="335"/>
        <v>42</v>
      </c>
      <c r="C1452" s="107" t="str">
        <f t="shared" si="336"/>
        <v>ATK</v>
      </c>
      <c r="D1452" s="2" t="s">
        <v>652</v>
      </c>
      <c r="E1452" s="3">
        <v>44116</v>
      </c>
      <c r="F1452" s="3">
        <v>44116</v>
      </c>
      <c r="G1452" s="108">
        <f t="shared" si="337"/>
        <v>10</v>
      </c>
      <c r="H1452" s="108" t="str">
        <f t="shared" si="338"/>
        <v>완료</v>
      </c>
      <c r="I1452" s="112" t="s">
        <v>218</v>
      </c>
      <c r="J1452" s="4" t="s">
        <v>115</v>
      </c>
      <c r="K1452" s="5" t="s">
        <v>116</v>
      </c>
      <c r="L1452" s="6" t="str">
        <f t="shared" si="333"/>
        <v>EE2</v>
      </c>
      <c r="M1452" s="13" t="s">
        <v>925</v>
      </c>
      <c r="N1452" s="7" t="s">
        <v>4357</v>
      </c>
      <c r="O1452" s="13" t="s">
        <v>4357</v>
      </c>
      <c r="P1452" s="115" t="s">
        <v>4686</v>
      </c>
      <c r="Q1452" s="8"/>
      <c r="R1452" s="2">
        <v>1</v>
      </c>
      <c r="S1452" s="9">
        <v>50</v>
      </c>
      <c r="T1452" s="10">
        <f t="shared" si="341"/>
        <v>25</v>
      </c>
      <c r="U1452" s="9">
        <v>0</v>
      </c>
      <c r="V1452" s="10">
        <f t="shared" si="342"/>
        <v>25</v>
      </c>
      <c r="W1452" s="4" t="s">
        <v>122</v>
      </c>
      <c r="X1452" s="2"/>
      <c r="Y1452" s="11">
        <v>1</v>
      </c>
      <c r="Z1452" s="12">
        <f t="shared" si="334"/>
        <v>0</v>
      </c>
      <c r="AA1452" s="4" t="s">
        <v>120</v>
      </c>
      <c r="AC1452" s="176">
        <f t="shared" si="330"/>
        <v>0</v>
      </c>
    </row>
    <row r="1453" spans="2:29">
      <c r="B1453" s="183">
        <f t="shared" si="335"/>
        <v>42</v>
      </c>
      <c r="C1453" s="107" t="str">
        <f t="shared" si="336"/>
        <v>ATK</v>
      </c>
      <c r="D1453" s="2" t="s">
        <v>217</v>
      </c>
      <c r="E1453" s="3">
        <v>44116</v>
      </c>
      <c r="F1453" s="3">
        <v>44116</v>
      </c>
      <c r="G1453" s="108">
        <f t="shared" si="337"/>
        <v>10</v>
      </c>
      <c r="H1453" s="108" t="str">
        <f t="shared" si="338"/>
        <v>완료</v>
      </c>
      <c r="I1453" s="112" t="s">
        <v>218</v>
      </c>
      <c r="J1453" s="4" t="s">
        <v>127</v>
      </c>
      <c r="K1453" s="5" t="s">
        <v>131</v>
      </c>
      <c r="L1453" s="6" t="str">
        <f t="shared" ref="L1453:L1454" si="349">LEFT(K1453,3)</f>
        <v>1T4</v>
      </c>
      <c r="M1453" s="13" t="s">
        <v>4687</v>
      </c>
      <c r="N1453" s="7" t="s">
        <v>4690</v>
      </c>
      <c r="O1453" s="13" t="s">
        <v>4688</v>
      </c>
      <c r="P1453" s="115" t="s">
        <v>4689</v>
      </c>
      <c r="Q1453" s="8" t="s">
        <v>4683</v>
      </c>
      <c r="R1453" s="2">
        <v>1</v>
      </c>
      <c r="S1453" s="9">
        <v>270</v>
      </c>
      <c r="T1453" s="10">
        <f t="shared" ref="T1453" si="350">(S1453*50)/100*R1453</f>
        <v>135</v>
      </c>
      <c r="U1453" s="9">
        <v>0</v>
      </c>
      <c r="V1453" s="10">
        <f t="shared" ref="V1453" si="351">T1453-U1453</f>
        <v>135</v>
      </c>
      <c r="W1453" s="4" t="s">
        <v>122</v>
      </c>
      <c r="X1453" s="2"/>
      <c r="Y1453" s="11">
        <v>4</v>
      </c>
      <c r="Z1453" s="12">
        <f t="shared" si="334"/>
        <v>0</v>
      </c>
      <c r="AA1453" s="4" t="s">
        <v>212</v>
      </c>
      <c r="AC1453" s="176">
        <f t="shared" si="330"/>
        <v>0</v>
      </c>
    </row>
    <row r="1454" spans="2:29">
      <c r="B1454" s="183">
        <f t="shared" si="335"/>
        <v>42</v>
      </c>
      <c r="C1454" s="107" t="str">
        <f t="shared" si="336"/>
        <v>ATK</v>
      </c>
      <c r="D1454" s="2" t="s">
        <v>4691</v>
      </c>
      <c r="E1454" s="3">
        <v>44116</v>
      </c>
      <c r="F1454" s="3">
        <v>44117</v>
      </c>
      <c r="G1454" s="108">
        <f t="shared" si="337"/>
        <v>10</v>
      </c>
      <c r="H1454" s="108" t="str">
        <f t="shared" si="338"/>
        <v>완료</v>
      </c>
      <c r="I1454" s="112" t="s">
        <v>218</v>
      </c>
      <c r="J1454" s="4" t="s">
        <v>115</v>
      </c>
      <c r="K1454" s="5" t="s">
        <v>138</v>
      </c>
      <c r="L1454" s="6" t="str">
        <f t="shared" si="349"/>
        <v>EE1</v>
      </c>
      <c r="M1454" s="13" t="s">
        <v>4327</v>
      </c>
      <c r="N1454" s="7" t="s">
        <v>588</v>
      </c>
      <c r="O1454" s="13" t="s">
        <v>786</v>
      </c>
      <c r="P1454" s="115" t="s">
        <v>4720</v>
      </c>
      <c r="Q1454" s="8"/>
      <c r="R1454" s="2">
        <v>1</v>
      </c>
      <c r="S1454" s="9">
        <v>1000</v>
      </c>
      <c r="T1454" s="10">
        <f t="shared" si="341"/>
        <v>500</v>
      </c>
      <c r="U1454" s="9"/>
      <c r="V1454" s="10">
        <f t="shared" si="342"/>
        <v>500</v>
      </c>
      <c r="W1454" s="4" t="s">
        <v>122</v>
      </c>
      <c r="X1454" s="2"/>
      <c r="Y1454" s="11">
        <v>6</v>
      </c>
      <c r="Z1454" s="12">
        <f t="shared" si="334"/>
        <v>1</v>
      </c>
      <c r="AA1454" s="4" t="s">
        <v>212</v>
      </c>
      <c r="AC1454" s="176">
        <f t="shared" si="330"/>
        <v>0</v>
      </c>
    </row>
    <row r="1455" spans="2:29" ht="24">
      <c r="B1455" s="183">
        <f t="shared" si="335"/>
        <v>42</v>
      </c>
      <c r="C1455" s="107" t="str">
        <f t="shared" si="336"/>
        <v>ATK</v>
      </c>
      <c r="D1455" s="2" t="s">
        <v>4692</v>
      </c>
      <c r="E1455" s="3">
        <v>44116</v>
      </c>
      <c r="F1455" s="3">
        <v>44117</v>
      </c>
      <c r="G1455" s="108">
        <f t="shared" si="337"/>
        <v>10</v>
      </c>
      <c r="H1455" s="108" t="str">
        <f t="shared" si="338"/>
        <v>완료</v>
      </c>
      <c r="I1455" s="112" t="s">
        <v>218</v>
      </c>
      <c r="J1455" s="4" t="s">
        <v>121</v>
      </c>
      <c r="K1455" s="5" t="s">
        <v>136</v>
      </c>
      <c r="L1455" s="6" t="str">
        <f t="shared" ref="L1455" si="352">LEFT(K1455,3)</f>
        <v>5T1</v>
      </c>
      <c r="M1455" s="13" t="s">
        <v>242</v>
      </c>
      <c r="N1455" s="7" t="s">
        <v>588</v>
      </c>
      <c r="O1455" s="13" t="s">
        <v>786</v>
      </c>
      <c r="P1455" s="115" t="s">
        <v>4719</v>
      </c>
      <c r="Q1455" s="8"/>
      <c r="R1455" s="2">
        <v>1</v>
      </c>
      <c r="S1455" s="9">
        <v>1000</v>
      </c>
      <c r="T1455" s="10">
        <f t="shared" si="341"/>
        <v>500</v>
      </c>
      <c r="U1455" s="9"/>
      <c r="V1455" s="10">
        <f t="shared" si="342"/>
        <v>500</v>
      </c>
      <c r="W1455" s="4" t="s">
        <v>122</v>
      </c>
      <c r="X1455" s="2"/>
      <c r="Y1455" s="11">
        <v>6</v>
      </c>
      <c r="Z1455" s="12">
        <f t="shared" si="334"/>
        <v>1</v>
      </c>
      <c r="AA1455" s="4" t="s">
        <v>212</v>
      </c>
      <c r="AC1455" s="176">
        <f t="shared" si="330"/>
        <v>0</v>
      </c>
    </row>
    <row r="1456" spans="2:29">
      <c r="B1456" s="183">
        <f t="shared" si="335"/>
        <v>42</v>
      </c>
      <c r="C1456" s="107" t="str">
        <f t="shared" si="336"/>
        <v>ATK</v>
      </c>
      <c r="D1456" s="2" t="s">
        <v>4693</v>
      </c>
      <c r="E1456" s="3">
        <v>44116</v>
      </c>
      <c r="F1456" s="3">
        <v>44116</v>
      </c>
      <c r="G1456" s="108">
        <f t="shared" si="337"/>
        <v>10</v>
      </c>
      <c r="H1456" s="108" t="str">
        <f t="shared" si="338"/>
        <v>완료</v>
      </c>
      <c r="I1456" s="112" t="s">
        <v>4694</v>
      </c>
      <c r="J1456" s="4" t="s">
        <v>4695</v>
      </c>
      <c r="K1456" s="5" t="s">
        <v>4696</v>
      </c>
      <c r="L1456" s="6" t="str">
        <f t="shared" si="333"/>
        <v>6T2</v>
      </c>
      <c r="M1456" s="13" t="s">
        <v>2589</v>
      </c>
      <c r="N1456" s="7" t="s">
        <v>4697</v>
      </c>
      <c r="O1456" s="13" t="s">
        <v>4698</v>
      </c>
      <c r="P1456" s="115" t="s">
        <v>4699</v>
      </c>
      <c r="Q1456" s="8" t="s">
        <v>4700</v>
      </c>
      <c r="R1456" s="2">
        <v>1</v>
      </c>
      <c r="S1456" s="9">
        <v>910</v>
      </c>
      <c r="T1456" s="10">
        <f t="shared" si="341"/>
        <v>455</v>
      </c>
      <c r="U1456" s="9">
        <v>25</v>
      </c>
      <c r="V1456" s="10">
        <f t="shared" si="342"/>
        <v>430</v>
      </c>
      <c r="W1456" s="4" t="s">
        <v>4701</v>
      </c>
      <c r="X1456" s="2"/>
      <c r="Y1456" s="11">
        <v>2</v>
      </c>
      <c r="Z1456" s="12">
        <f t="shared" si="334"/>
        <v>0</v>
      </c>
      <c r="AA1456" s="4" t="s">
        <v>4702</v>
      </c>
      <c r="AC1456" s="176">
        <f t="shared" si="330"/>
        <v>2.2727272727272728E-2</v>
      </c>
    </row>
    <row r="1457" spans="2:29">
      <c r="B1457" s="183">
        <f t="shared" si="335"/>
        <v>42</v>
      </c>
      <c r="C1457" s="107" t="str">
        <f t="shared" si="336"/>
        <v>ATK</v>
      </c>
      <c r="D1457" s="2" t="s">
        <v>4703</v>
      </c>
      <c r="E1457" s="3">
        <v>44116</v>
      </c>
      <c r="F1457" s="3">
        <v>44116</v>
      </c>
      <c r="G1457" s="108">
        <f t="shared" si="337"/>
        <v>10</v>
      </c>
      <c r="H1457" s="108" t="str">
        <f t="shared" si="338"/>
        <v>완료</v>
      </c>
      <c r="I1457" s="112" t="s">
        <v>4694</v>
      </c>
      <c r="J1457" s="4" t="s">
        <v>1986</v>
      </c>
      <c r="K1457" s="5" t="s">
        <v>1987</v>
      </c>
      <c r="L1457" s="6" t="str">
        <f t="shared" si="333"/>
        <v>1T1</v>
      </c>
      <c r="M1457" s="13" t="s">
        <v>2589</v>
      </c>
      <c r="N1457" s="7" t="s">
        <v>4697</v>
      </c>
      <c r="O1457" s="13" t="s">
        <v>2589</v>
      </c>
      <c r="P1457" s="115" t="s">
        <v>4699</v>
      </c>
      <c r="Q1457" s="8" t="s">
        <v>4704</v>
      </c>
      <c r="R1457" s="2">
        <v>1</v>
      </c>
      <c r="S1457" s="9">
        <v>910</v>
      </c>
      <c r="T1457" s="10">
        <f t="shared" si="341"/>
        <v>455</v>
      </c>
      <c r="U1457" s="9">
        <v>25</v>
      </c>
      <c r="V1457" s="10">
        <f t="shared" si="342"/>
        <v>430</v>
      </c>
      <c r="W1457" s="4" t="s">
        <v>4705</v>
      </c>
      <c r="X1457" s="2"/>
      <c r="Y1457" s="11">
        <v>1</v>
      </c>
      <c r="Z1457" s="12">
        <f t="shared" si="334"/>
        <v>0</v>
      </c>
      <c r="AA1457" s="4" t="s">
        <v>4702</v>
      </c>
      <c r="AC1457" s="176">
        <f t="shared" si="330"/>
        <v>2.2727272727272728E-2</v>
      </c>
    </row>
    <row r="1458" spans="2:29">
      <c r="B1458" s="183">
        <f t="shared" si="335"/>
        <v>42</v>
      </c>
      <c r="C1458" s="107" t="str">
        <f t="shared" si="336"/>
        <v>ATK</v>
      </c>
      <c r="D1458" s="2" t="s">
        <v>217</v>
      </c>
      <c r="E1458" s="3">
        <v>44116</v>
      </c>
      <c r="F1458" s="3">
        <v>44116</v>
      </c>
      <c r="G1458" s="108">
        <f t="shared" si="337"/>
        <v>10</v>
      </c>
      <c r="H1458" s="108" t="str">
        <f t="shared" si="338"/>
        <v>Other</v>
      </c>
      <c r="I1458" s="112" t="s">
        <v>660</v>
      </c>
      <c r="J1458" s="4" t="s">
        <v>127</v>
      </c>
      <c r="K1458" s="5" t="s">
        <v>131</v>
      </c>
      <c r="L1458" s="6" t="str">
        <f t="shared" si="333"/>
        <v>1T4</v>
      </c>
      <c r="M1458" s="13" t="s">
        <v>270</v>
      </c>
      <c r="N1458" s="7" t="s">
        <v>3860</v>
      </c>
      <c r="O1458" s="13" t="s">
        <v>270</v>
      </c>
      <c r="P1458" s="115" t="s">
        <v>4707</v>
      </c>
      <c r="Q1458" s="8" t="s">
        <v>4706</v>
      </c>
      <c r="R1458" s="2">
        <v>1</v>
      </c>
      <c r="S1458" s="9">
        <v>700</v>
      </c>
      <c r="T1458" s="10">
        <f t="shared" si="341"/>
        <v>350</v>
      </c>
      <c r="U1458" s="9">
        <v>0</v>
      </c>
      <c r="V1458" s="10">
        <f t="shared" si="342"/>
        <v>350</v>
      </c>
      <c r="W1458" s="4" t="s">
        <v>249</v>
      </c>
      <c r="X1458" s="2"/>
      <c r="Y1458" s="11">
        <v>1</v>
      </c>
      <c r="Z1458" s="12">
        <f t="shared" si="334"/>
        <v>0</v>
      </c>
      <c r="AA1458" s="4" t="s">
        <v>174</v>
      </c>
      <c r="AC1458" s="176">
        <f t="shared" ref="AC1458:AC1521" si="353">U1458/1100</f>
        <v>0</v>
      </c>
    </row>
    <row r="1459" spans="2:29">
      <c r="B1459" s="183">
        <f t="shared" si="335"/>
        <v>42</v>
      </c>
      <c r="C1459" s="107" t="str">
        <f t="shared" si="336"/>
        <v>ATK</v>
      </c>
      <c r="D1459" s="2" t="s">
        <v>4708</v>
      </c>
      <c r="E1459" s="3">
        <v>44116</v>
      </c>
      <c r="F1459" s="3">
        <v>44116</v>
      </c>
      <c r="G1459" s="108">
        <f t="shared" si="337"/>
        <v>10</v>
      </c>
      <c r="H1459" s="108" t="str">
        <f t="shared" si="338"/>
        <v>완료</v>
      </c>
      <c r="I1459" s="112" t="s">
        <v>218</v>
      </c>
      <c r="J1459" s="4" t="s">
        <v>115</v>
      </c>
      <c r="K1459" s="5" t="s">
        <v>138</v>
      </c>
      <c r="L1459" s="6" t="str">
        <f t="shared" si="333"/>
        <v>EE1</v>
      </c>
      <c r="M1459" s="13" t="s">
        <v>2217</v>
      </c>
      <c r="N1459" s="7" t="s">
        <v>4709</v>
      </c>
      <c r="O1459" s="13" t="s">
        <v>4710</v>
      </c>
      <c r="P1459" s="115" t="s">
        <v>4711</v>
      </c>
      <c r="Q1459" s="8"/>
      <c r="R1459" s="2">
        <v>1</v>
      </c>
      <c r="S1459" s="9">
        <v>40000</v>
      </c>
      <c r="T1459" s="10">
        <f t="shared" si="341"/>
        <v>20000</v>
      </c>
      <c r="U1459" s="9">
        <v>20</v>
      </c>
      <c r="V1459" s="10">
        <f t="shared" si="342"/>
        <v>19980</v>
      </c>
      <c r="W1459" s="4" t="s">
        <v>122</v>
      </c>
      <c r="X1459" s="2"/>
      <c r="Y1459" s="11">
        <v>4</v>
      </c>
      <c r="Z1459" s="12">
        <f t="shared" si="334"/>
        <v>0</v>
      </c>
      <c r="AA1459" s="4" t="s">
        <v>117</v>
      </c>
      <c r="AC1459" s="176">
        <f t="shared" si="353"/>
        <v>1.8181818181818181E-2</v>
      </c>
    </row>
    <row r="1460" spans="2:29">
      <c r="B1460" s="183">
        <f t="shared" si="335"/>
        <v>42</v>
      </c>
      <c r="C1460" s="107" t="str">
        <f t="shared" si="336"/>
        <v>ATK</v>
      </c>
      <c r="D1460" s="2" t="s">
        <v>652</v>
      </c>
      <c r="E1460" s="3">
        <v>44116</v>
      </c>
      <c r="F1460" s="3">
        <v>44117</v>
      </c>
      <c r="G1460" s="108">
        <f t="shared" si="337"/>
        <v>10</v>
      </c>
      <c r="H1460" s="108" t="str">
        <f t="shared" si="338"/>
        <v>완료</v>
      </c>
      <c r="I1460" s="112" t="s">
        <v>218</v>
      </c>
      <c r="J1460" s="4" t="s">
        <v>281</v>
      </c>
      <c r="K1460" s="5" t="s">
        <v>332</v>
      </c>
      <c r="L1460" s="6" t="str">
        <f t="shared" si="333"/>
        <v>EE2</v>
      </c>
      <c r="M1460" s="13" t="s">
        <v>4536</v>
      </c>
      <c r="N1460" s="7" t="s">
        <v>4038</v>
      </c>
      <c r="O1460" s="13" t="s">
        <v>4712</v>
      </c>
      <c r="P1460" s="115" t="s">
        <v>4713</v>
      </c>
      <c r="Q1460" s="8"/>
      <c r="R1460" s="2">
        <v>1</v>
      </c>
      <c r="S1460" s="9">
        <v>2500</v>
      </c>
      <c r="T1460" s="10">
        <f t="shared" si="341"/>
        <v>1250</v>
      </c>
      <c r="U1460" s="9">
        <v>60</v>
      </c>
      <c r="V1460" s="10">
        <f t="shared" si="342"/>
        <v>1190</v>
      </c>
      <c r="W1460" s="4" t="s">
        <v>122</v>
      </c>
      <c r="X1460" s="2"/>
      <c r="Y1460" s="11">
        <v>4</v>
      </c>
      <c r="Z1460" s="12">
        <f t="shared" si="334"/>
        <v>1</v>
      </c>
      <c r="AA1460" s="4" t="s">
        <v>27</v>
      </c>
      <c r="AC1460" s="176">
        <f t="shared" si="353"/>
        <v>5.4545454545454543E-2</v>
      </c>
    </row>
    <row r="1461" spans="2:29">
      <c r="B1461" s="183">
        <f t="shared" si="335"/>
        <v>42</v>
      </c>
      <c r="C1461" s="107" t="str">
        <f t="shared" si="336"/>
        <v>ATK</v>
      </c>
      <c r="D1461" s="2" t="s">
        <v>837</v>
      </c>
      <c r="E1461" s="3">
        <v>44117</v>
      </c>
      <c r="F1461" s="3">
        <v>44117</v>
      </c>
      <c r="G1461" s="108">
        <f t="shared" si="337"/>
        <v>10</v>
      </c>
      <c r="H1461" s="108" t="str">
        <f t="shared" si="338"/>
        <v>완료</v>
      </c>
      <c r="I1461" s="112" t="s">
        <v>218</v>
      </c>
      <c r="J1461" s="4" t="s">
        <v>281</v>
      </c>
      <c r="K1461" s="5" t="s">
        <v>332</v>
      </c>
      <c r="L1461" s="6" t="str">
        <f t="shared" ref="L1461" si="354">LEFT(K1461,3)</f>
        <v>EE2</v>
      </c>
      <c r="M1461" s="13" t="s">
        <v>4536</v>
      </c>
      <c r="N1461" s="7" t="s">
        <v>4134</v>
      </c>
      <c r="O1461" s="13" t="s">
        <v>2698</v>
      </c>
      <c r="P1461" s="115" t="s">
        <v>4714</v>
      </c>
      <c r="Q1461" s="8"/>
      <c r="R1461" s="2">
        <v>1</v>
      </c>
      <c r="S1461" s="9">
        <v>3500</v>
      </c>
      <c r="T1461" s="10">
        <f t="shared" si="341"/>
        <v>1750</v>
      </c>
      <c r="U1461" s="9">
        <v>50</v>
      </c>
      <c r="V1461" s="10">
        <f t="shared" si="342"/>
        <v>1700</v>
      </c>
      <c r="W1461" s="4" t="s">
        <v>122</v>
      </c>
      <c r="X1461" s="2"/>
      <c r="Y1461" s="11">
        <v>2</v>
      </c>
      <c r="Z1461" s="12">
        <f t="shared" si="334"/>
        <v>0</v>
      </c>
      <c r="AA1461" s="4" t="s">
        <v>27</v>
      </c>
      <c r="AC1461" s="176">
        <f t="shared" si="353"/>
        <v>4.5454545454545456E-2</v>
      </c>
    </row>
    <row r="1462" spans="2:29">
      <c r="B1462" s="183">
        <f t="shared" si="335"/>
        <v>42</v>
      </c>
      <c r="C1462" s="107" t="str">
        <f t="shared" si="336"/>
        <v>ATK</v>
      </c>
      <c r="D1462" s="2" t="s">
        <v>4715</v>
      </c>
      <c r="E1462" s="3">
        <v>44082</v>
      </c>
      <c r="F1462" s="3">
        <v>44117</v>
      </c>
      <c r="G1462" s="108">
        <f t="shared" si="337"/>
        <v>10</v>
      </c>
      <c r="H1462" s="108" t="str">
        <f t="shared" si="338"/>
        <v>완료</v>
      </c>
      <c r="I1462" s="112" t="s">
        <v>4732</v>
      </c>
      <c r="J1462" s="4" t="s">
        <v>4716</v>
      </c>
      <c r="K1462" s="5" t="s">
        <v>3198</v>
      </c>
      <c r="L1462" s="6" t="str">
        <f t="shared" si="333"/>
        <v>2T2</v>
      </c>
      <c r="M1462" s="13" t="s">
        <v>4536</v>
      </c>
      <c r="N1462" s="7" t="s">
        <v>4038</v>
      </c>
      <c r="O1462" s="13" t="s">
        <v>4717</v>
      </c>
      <c r="P1462" s="115" t="s">
        <v>4718</v>
      </c>
      <c r="Q1462" s="8"/>
      <c r="R1462" s="2">
        <v>1</v>
      </c>
      <c r="S1462" s="9">
        <v>1500</v>
      </c>
      <c r="T1462" s="10">
        <f t="shared" si="341"/>
        <v>750</v>
      </c>
      <c r="U1462" s="9">
        <v>5</v>
      </c>
      <c r="V1462" s="10">
        <f t="shared" si="342"/>
        <v>745</v>
      </c>
      <c r="W1462" s="4" t="s">
        <v>4734</v>
      </c>
      <c r="X1462" s="2"/>
      <c r="Y1462" s="11">
        <v>2</v>
      </c>
      <c r="Z1462" s="12">
        <f t="shared" si="334"/>
        <v>35</v>
      </c>
      <c r="AA1462" s="4" t="s">
        <v>4733</v>
      </c>
      <c r="AC1462" s="176">
        <f t="shared" si="353"/>
        <v>4.5454545454545452E-3</v>
      </c>
    </row>
    <row r="1463" spans="2:29">
      <c r="B1463" s="183">
        <f t="shared" si="335"/>
        <v>42</v>
      </c>
      <c r="C1463" s="107" t="str">
        <f t="shared" si="336"/>
        <v>ATK</v>
      </c>
      <c r="D1463" s="2" t="s">
        <v>4721</v>
      </c>
      <c r="E1463" s="3">
        <v>44116</v>
      </c>
      <c r="F1463" s="3">
        <v>44118</v>
      </c>
      <c r="G1463" s="108">
        <f t="shared" si="337"/>
        <v>10</v>
      </c>
      <c r="H1463" s="108" t="str">
        <f t="shared" si="338"/>
        <v>완료</v>
      </c>
      <c r="I1463" s="112" t="s">
        <v>218</v>
      </c>
      <c r="J1463" s="4" t="s">
        <v>115</v>
      </c>
      <c r="K1463" s="5" t="s">
        <v>138</v>
      </c>
      <c r="L1463" s="6" t="str">
        <f t="shared" si="333"/>
        <v>EE1</v>
      </c>
      <c r="M1463" s="13" t="s">
        <v>4722</v>
      </c>
      <c r="N1463" s="7" t="s">
        <v>4723</v>
      </c>
      <c r="O1463" s="13" t="s">
        <v>284</v>
      </c>
      <c r="P1463" s="115" t="s">
        <v>4740</v>
      </c>
      <c r="Q1463" s="8"/>
      <c r="R1463" s="2">
        <v>3</v>
      </c>
      <c r="S1463" s="9">
        <v>1000</v>
      </c>
      <c r="T1463" s="10">
        <f t="shared" si="341"/>
        <v>1500</v>
      </c>
      <c r="U1463" s="9"/>
      <c r="V1463" s="10">
        <f t="shared" si="342"/>
        <v>1500</v>
      </c>
      <c r="W1463" s="4" t="s">
        <v>122</v>
      </c>
      <c r="X1463" s="2"/>
      <c r="Y1463" s="11">
        <v>4</v>
      </c>
      <c r="Z1463" s="12">
        <f t="shared" si="334"/>
        <v>2</v>
      </c>
      <c r="AA1463" s="4" t="s">
        <v>212</v>
      </c>
      <c r="AC1463" s="176">
        <f t="shared" si="353"/>
        <v>0</v>
      </c>
    </row>
    <row r="1464" spans="2:29">
      <c r="B1464" s="183">
        <f t="shared" si="335"/>
        <v>43</v>
      </c>
      <c r="C1464" s="107" t="str">
        <f t="shared" si="336"/>
        <v>ATK</v>
      </c>
      <c r="D1464" s="2" t="s">
        <v>4724</v>
      </c>
      <c r="E1464" s="3">
        <v>44117</v>
      </c>
      <c r="F1464" s="3">
        <v>44124</v>
      </c>
      <c r="G1464" s="108">
        <f t="shared" si="337"/>
        <v>10</v>
      </c>
      <c r="H1464" s="108" t="str">
        <f t="shared" si="338"/>
        <v>완료</v>
      </c>
      <c r="I1464" s="112" t="s">
        <v>218</v>
      </c>
      <c r="J1464" s="4" t="s">
        <v>121</v>
      </c>
      <c r="K1464" s="5" t="s">
        <v>136</v>
      </c>
      <c r="L1464" s="6" t="str">
        <f t="shared" si="333"/>
        <v>5T1</v>
      </c>
      <c r="M1464" s="13" t="s">
        <v>4725</v>
      </c>
      <c r="N1464" s="7" t="s">
        <v>4726</v>
      </c>
      <c r="O1464" s="13" t="s">
        <v>4727</v>
      </c>
      <c r="P1464" s="115" t="s">
        <v>4805</v>
      </c>
      <c r="Q1464" s="8"/>
      <c r="R1464" s="2">
        <v>1</v>
      </c>
      <c r="S1464" s="9">
        <v>1000</v>
      </c>
      <c r="T1464" s="10">
        <f t="shared" si="341"/>
        <v>500</v>
      </c>
      <c r="U1464" s="9">
        <v>5</v>
      </c>
      <c r="V1464" s="10">
        <f t="shared" si="342"/>
        <v>495</v>
      </c>
      <c r="W1464" s="4" t="s">
        <v>122</v>
      </c>
      <c r="X1464" s="2"/>
      <c r="Y1464" s="11">
        <v>4</v>
      </c>
      <c r="Z1464" s="12">
        <f t="shared" si="334"/>
        <v>7</v>
      </c>
      <c r="AA1464" s="4" t="s">
        <v>212</v>
      </c>
      <c r="AC1464" s="176">
        <f t="shared" si="353"/>
        <v>4.5454545454545452E-3</v>
      </c>
    </row>
    <row r="1465" spans="2:29">
      <c r="B1465" s="183">
        <f t="shared" si="335"/>
        <v>42</v>
      </c>
      <c r="C1465" s="107" t="str">
        <f t="shared" si="336"/>
        <v>ATK</v>
      </c>
      <c r="D1465" s="2" t="s">
        <v>236</v>
      </c>
      <c r="E1465" s="3">
        <v>44117</v>
      </c>
      <c r="F1465" s="3">
        <v>44117</v>
      </c>
      <c r="G1465" s="108">
        <f t="shared" si="337"/>
        <v>10</v>
      </c>
      <c r="H1465" s="108" t="str">
        <f t="shared" si="338"/>
        <v>완료</v>
      </c>
      <c r="I1465" s="112" t="s">
        <v>218</v>
      </c>
      <c r="J1465" s="4" t="s">
        <v>118</v>
      </c>
      <c r="K1465" s="5" t="s">
        <v>119</v>
      </c>
      <c r="L1465" s="6" t="str">
        <f t="shared" si="333"/>
        <v>2T3</v>
      </c>
      <c r="M1465" s="13" t="s">
        <v>4020</v>
      </c>
      <c r="N1465" s="7" t="s">
        <v>4728</v>
      </c>
      <c r="O1465" s="13" t="s">
        <v>4729</v>
      </c>
      <c r="P1465" s="115" t="s">
        <v>4730</v>
      </c>
      <c r="Q1465" s="8" t="s">
        <v>4731</v>
      </c>
      <c r="R1465" s="2">
        <v>1</v>
      </c>
      <c r="S1465" s="9">
        <v>4600</v>
      </c>
      <c r="T1465" s="10">
        <f t="shared" si="341"/>
        <v>2300</v>
      </c>
      <c r="U1465" s="9">
        <v>0</v>
      </c>
      <c r="V1465" s="10">
        <f t="shared" si="342"/>
        <v>2300</v>
      </c>
      <c r="W1465" s="4" t="s">
        <v>122</v>
      </c>
      <c r="X1465" s="2"/>
      <c r="Y1465" s="11">
        <v>5</v>
      </c>
      <c r="Z1465" s="12">
        <f t="shared" si="334"/>
        <v>0</v>
      </c>
      <c r="AA1465" s="4" t="s">
        <v>120</v>
      </c>
      <c r="AC1465" s="176">
        <f t="shared" si="353"/>
        <v>0</v>
      </c>
    </row>
    <row r="1466" spans="2:29">
      <c r="B1466" s="183">
        <f t="shared" si="335"/>
        <v>42</v>
      </c>
      <c r="C1466" s="107" t="str">
        <f t="shared" si="336"/>
        <v>ATK</v>
      </c>
      <c r="D1466" s="2" t="s">
        <v>664</v>
      </c>
      <c r="E1466" s="3">
        <v>44089</v>
      </c>
      <c r="F1466" s="3">
        <v>44120</v>
      </c>
      <c r="G1466" s="108">
        <f t="shared" si="337"/>
        <v>10</v>
      </c>
      <c r="H1466" s="108" t="str">
        <f t="shared" si="338"/>
        <v>완료</v>
      </c>
      <c r="I1466" s="112" t="s">
        <v>218</v>
      </c>
      <c r="J1466" s="4" t="s">
        <v>808</v>
      </c>
      <c r="K1466" s="5" t="s">
        <v>833</v>
      </c>
      <c r="L1466" s="6" t="str">
        <f t="shared" ref="L1466" si="355">LEFT(K1466,3)</f>
        <v>1T3</v>
      </c>
      <c r="M1466" s="13" t="s">
        <v>4536</v>
      </c>
      <c r="N1466" s="7" t="s">
        <v>4134</v>
      </c>
      <c r="O1466" s="13" t="s">
        <v>4717</v>
      </c>
      <c r="P1466" s="115" t="s">
        <v>4718</v>
      </c>
      <c r="Q1466" s="8"/>
      <c r="R1466" s="2">
        <v>7</v>
      </c>
      <c r="S1466" s="9">
        <v>1500</v>
      </c>
      <c r="T1466" s="10">
        <f t="shared" ref="T1466" si="356">(S1466*50)/100*R1466</f>
        <v>5250</v>
      </c>
      <c r="U1466" s="9">
        <v>100</v>
      </c>
      <c r="V1466" s="10">
        <f t="shared" ref="V1466" si="357">T1466-U1466</f>
        <v>5150</v>
      </c>
      <c r="W1466" s="4" t="s">
        <v>4734</v>
      </c>
      <c r="X1466" s="2"/>
      <c r="Y1466" s="11">
        <v>8</v>
      </c>
      <c r="Z1466" s="12">
        <f t="shared" si="334"/>
        <v>31</v>
      </c>
      <c r="AA1466" s="4" t="s">
        <v>4733</v>
      </c>
      <c r="AC1466" s="176">
        <f t="shared" si="353"/>
        <v>9.0909090909090912E-2</v>
      </c>
    </row>
    <row r="1467" spans="2:29">
      <c r="B1467" s="183">
        <f t="shared" si="335"/>
        <v>42</v>
      </c>
      <c r="C1467" s="107" t="str">
        <f t="shared" si="336"/>
        <v>ATK</v>
      </c>
      <c r="D1467" s="2" t="s">
        <v>4739</v>
      </c>
      <c r="E1467" s="3">
        <v>44117</v>
      </c>
      <c r="F1467" s="3">
        <v>44117</v>
      </c>
      <c r="G1467" s="108">
        <f t="shared" si="337"/>
        <v>10</v>
      </c>
      <c r="H1467" s="108" t="str">
        <f t="shared" si="338"/>
        <v>완료</v>
      </c>
      <c r="I1467" s="112" t="s">
        <v>218</v>
      </c>
      <c r="J1467" s="4" t="s">
        <v>243</v>
      </c>
      <c r="K1467" s="5" t="s">
        <v>243</v>
      </c>
      <c r="L1467" s="6" t="str">
        <f t="shared" si="333"/>
        <v>K5</v>
      </c>
      <c r="M1467" s="13" t="s">
        <v>4735</v>
      </c>
      <c r="N1467" s="7" t="s">
        <v>4736</v>
      </c>
      <c r="O1467" s="13" t="s">
        <v>4737</v>
      </c>
      <c r="P1467" s="115" t="s">
        <v>4738</v>
      </c>
      <c r="Q1467" s="8"/>
      <c r="R1467" s="2">
        <v>1</v>
      </c>
      <c r="S1467" s="9">
        <v>1200</v>
      </c>
      <c r="T1467" s="10">
        <f t="shared" si="341"/>
        <v>600</v>
      </c>
      <c r="U1467" s="9">
        <v>10</v>
      </c>
      <c r="V1467" s="10">
        <f t="shared" si="342"/>
        <v>590</v>
      </c>
      <c r="W1467" s="4" t="s">
        <v>122</v>
      </c>
      <c r="X1467" s="2"/>
      <c r="Y1467" s="11">
        <v>3</v>
      </c>
      <c r="Z1467" s="12">
        <f t="shared" si="334"/>
        <v>0</v>
      </c>
      <c r="AA1467" s="4" t="s">
        <v>212</v>
      </c>
      <c r="AC1467" s="176">
        <f t="shared" si="353"/>
        <v>9.0909090909090905E-3</v>
      </c>
    </row>
    <row r="1468" spans="2:29">
      <c r="B1468" s="183">
        <f t="shared" si="335"/>
        <v>42</v>
      </c>
      <c r="C1468" s="107" t="str">
        <f t="shared" si="336"/>
        <v>ATK</v>
      </c>
      <c r="D1468" s="2" t="s">
        <v>837</v>
      </c>
      <c r="E1468" s="3">
        <v>44118</v>
      </c>
      <c r="F1468" s="3">
        <v>44118</v>
      </c>
      <c r="G1468" s="108">
        <f t="shared" si="337"/>
        <v>10</v>
      </c>
      <c r="H1468" s="108" t="str">
        <f t="shared" si="338"/>
        <v>완료</v>
      </c>
      <c r="I1468" s="112" t="s">
        <v>218</v>
      </c>
      <c r="J1468" s="4" t="s">
        <v>281</v>
      </c>
      <c r="K1468" s="5" t="s">
        <v>332</v>
      </c>
      <c r="L1468" s="6" t="str">
        <f t="shared" si="333"/>
        <v>EE2</v>
      </c>
      <c r="M1468" s="13" t="s">
        <v>4536</v>
      </c>
      <c r="N1468" s="7" t="s">
        <v>4134</v>
      </c>
      <c r="O1468" s="13" t="s">
        <v>2698</v>
      </c>
      <c r="P1468" s="115" t="s">
        <v>4741</v>
      </c>
      <c r="Q1468" s="8"/>
      <c r="R1468" s="2">
        <v>1</v>
      </c>
      <c r="S1468" s="9">
        <v>3500</v>
      </c>
      <c r="T1468" s="10">
        <f t="shared" ref="T1468" si="358">(S1468*50)/100*R1468</f>
        <v>1750</v>
      </c>
      <c r="U1468" s="9">
        <v>50</v>
      </c>
      <c r="V1468" s="10">
        <f t="shared" ref="V1468" si="359">T1468-U1468</f>
        <v>1700</v>
      </c>
      <c r="W1468" s="4" t="s">
        <v>122</v>
      </c>
      <c r="X1468" s="2"/>
      <c r="Y1468" s="11">
        <v>2</v>
      </c>
      <c r="Z1468" s="12">
        <f t="shared" si="334"/>
        <v>0</v>
      </c>
      <c r="AA1468" s="4" t="s">
        <v>27</v>
      </c>
      <c r="AC1468" s="176">
        <f t="shared" si="353"/>
        <v>4.5454545454545456E-2</v>
      </c>
    </row>
    <row r="1469" spans="2:29">
      <c r="B1469" s="183">
        <f t="shared" si="335"/>
        <v>42</v>
      </c>
      <c r="C1469" s="107" t="str">
        <f t="shared" si="336"/>
        <v>ATK</v>
      </c>
      <c r="D1469" s="2" t="s">
        <v>4742</v>
      </c>
      <c r="E1469" s="3">
        <v>44118</v>
      </c>
      <c r="F1469" s="3">
        <v>44118</v>
      </c>
      <c r="G1469" s="108">
        <f t="shared" si="337"/>
        <v>10</v>
      </c>
      <c r="H1469" s="108" t="str">
        <f t="shared" si="338"/>
        <v>완료</v>
      </c>
      <c r="I1469" s="112" t="s">
        <v>218</v>
      </c>
      <c r="J1469" s="4" t="s">
        <v>121</v>
      </c>
      <c r="K1469" s="5" t="s">
        <v>136</v>
      </c>
      <c r="L1469" s="6" t="str">
        <f t="shared" si="333"/>
        <v>5T1</v>
      </c>
      <c r="M1469" s="13" t="s">
        <v>4743</v>
      </c>
      <c r="N1469" s="7" t="s">
        <v>4462</v>
      </c>
      <c r="O1469" s="13" t="s">
        <v>4744</v>
      </c>
      <c r="P1469" s="115"/>
      <c r="Q1469" s="8"/>
      <c r="R1469" s="2">
        <v>1</v>
      </c>
      <c r="S1469" s="9">
        <v>700</v>
      </c>
      <c r="T1469" s="10">
        <f t="shared" si="341"/>
        <v>350</v>
      </c>
      <c r="U1469" s="9">
        <v>2</v>
      </c>
      <c r="V1469" s="10">
        <f t="shared" si="342"/>
        <v>348</v>
      </c>
      <c r="W1469" s="4" t="s">
        <v>122</v>
      </c>
      <c r="X1469" s="2"/>
      <c r="Y1469" s="11">
        <v>1</v>
      </c>
      <c r="Z1469" s="12">
        <f t="shared" si="334"/>
        <v>0</v>
      </c>
      <c r="AA1469" s="4" t="s">
        <v>117</v>
      </c>
      <c r="AC1469" s="176">
        <f t="shared" si="353"/>
        <v>1.8181818181818182E-3</v>
      </c>
    </row>
    <row r="1470" spans="2:29">
      <c r="B1470" s="183">
        <f t="shared" si="335"/>
        <v>42</v>
      </c>
      <c r="C1470" s="107" t="str">
        <f t="shared" si="336"/>
        <v>ATK</v>
      </c>
      <c r="D1470" s="2" t="s">
        <v>217</v>
      </c>
      <c r="E1470" s="3">
        <v>44118</v>
      </c>
      <c r="F1470" s="3">
        <v>44118</v>
      </c>
      <c r="G1470" s="108">
        <f t="shared" si="337"/>
        <v>10</v>
      </c>
      <c r="H1470" s="108" t="str">
        <f t="shared" si="338"/>
        <v>완료</v>
      </c>
      <c r="I1470" s="112" t="s">
        <v>218</v>
      </c>
      <c r="J1470" s="4" t="s">
        <v>127</v>
      </c>
      <c r="K1470" s="5" t="s">
        <v>131</v>
      </c>
      <c r="L1470" s="6" t="str">
        <f t="shared" si="333"/>
        <v>1T4</v>
      </c>
      <c r="M1470" s="13" t="s">
        <v>4585</v>
      </c>
      <c r="N1470" s="7" t="s">
        <v>4745</v>
      </c>
      <c r="O1470" s="13" t="s">
        <v>4746</v>
      </c>
      <c r="P1470" s="115" t="s">
        <v>4747</v>
      </c>
      <c r="Q1470" s="8" t="s">
        <v>4748</v>
      </c>
      <c r="R1470" s="2">
        <v>1</v>
      </c>
      <c r="S1470" s="9">
        <v>500</v>
      </c>
      <c r="T1470" s="10">
        <f t="shared" si="341"/>
        <v>250</v>
      </c>
      <c r="U1470" s="9">
        <v>1</v>
      </c>
      <c r="V1470" s="10">
        <f t="shared" si="342"/>
        <v>249</v>
      </c>
      <c r="W1470" s="4" t="s">
        <v>122</v>
      </c>
      <c r="X1470" s="2"/>
      <c r="Y1470" s="11">
        <v>6</v>
      </c>
      <c r="Z1470" s="12">
        <f t="shared" si="334"/>
        <v>0</v>
      </c>
      <c r="AA1470" s="4" t="s">
        <v>120</v>
      </c>
      <c r="AC1470" s="176">
        <f t="shared" si="353"/>
        <v>9.0909090909090909E-4</v>
      </c>
    </row>
    <row r="1471" spans="2:29">
      <c r="B1471" s="183">
        <f t="shared" si="335"/>
        <v>42</v>
      </c>
      <c r="C1471" s="107" t="str">
        <f t="shared" si="336"/>
        <v>ATK</v>
      </c>
      <c r="D1471" s="2" t="s">
        <v>4751</v>
      </c>
      <c r="E1471" s="3">
        <v>44119</v>
      </c>
      <c r="F1471" s="3">
        <v>44119</v>
      </c>
      <c r="G1471" s="108">
        <f t="shared" si="337"/>
        <v>10</v>
      </c>
      <c r="H1471" s="108" t="str">
        <f t="shared" si="338"/>
        <v>완료</v>
      </c>
      <c r="I1471" s="112" t="s">
        <v>218</v>
      </c>
      <c r="J1471" s="4" t="s">
        <v>243</v>
      </c>
      <c r="K1471" s="5" t="s">
        <v>243</v>
      </c>
      <c r="L1471" s="6" t="str">
        <f t="shared" ref="L1471:L1504" si="360">LEFT(K1471,3)</f>
        <v>K5</v>
      </c>
      <c r="M1471" s="13" t="s">
        <v>4752</v>
      </c>
      <c r="N1471" s="7"/>
      <c r="O1471" s="13" t="s">
        <v>4753</v>
      </c>
      <c r="P1471" s="115"/>
      <c r="Q1471" s="8"/>
      <c r="R1471" s="2">
        <v>1</v>
      </c>
      <c r="S1471" s="9">
        <v>13000</v>
      </c>
      <c r="T1471" s="10">
        <f t="shared" si="341"/>
        <v>6500</v>
      </c>
      <c r="U1471" s="9">
        <v>40</v>
      </c>
      <c r="V1471" s="10">
        <f t="shared" si="342"/>
        <v>6460</v>
      </c>
      <c r="W1471" s="4" t="s">
        <v>122</v>
      </c>
      <c r="X1471" s="2"/>
      <c r="Y1471" s="11">
        <v>3</v>
      </c>
      <c r="Z1471" s="12">
        <f t="shared" si="334"/>
        <v>0</v>
      </c>
      <c r="AA1471" s="4" t="s">
        <v>117</v>
      </c>
      <c r="AC1471" s="176">
        <f t="shared" si="353"/>
        <v>3.6363636363636362E-2</v>
      </c>
    </row>
    <row r="1472" spans="2:29">
      <c r="B1472" s="183">
        <f t="shared" si="335"/>
        <v>42</v>
      </c>
      <c r="C1472" s="107" t="str">
        <f t="shared" si="336"/>
        <v>ATK</v>
      </c>
      <c r="D1472" s="2" t="s">
        <v>652</v>
      </c>
      <c r="E1472" s="3">
        <v>44119</v>
      </c>
      <c r="F1472" s="3">
        <v>44119</v>
      </c>
      <c r="G1472" s="108">
        <f t="shared" si="337"/>
        <v>10</v>
      </c>
      <c r="H1472" s="108" t="str">
        <f t="shared" si="338"/>
        <v>완료</v>
      </c>
      <c r="I1472" s="112" t="s">
        <v>218</v>
      </c>
      <c r="J1472" s="4" t="s">
        <v>281</v>
      </c>
      <c r="K1472" s="5" t="s">
        <v>332</v>
      </c>
      <c r="L1472" s="6" t="str">
        <f t="shared" si="360"/>
        <v>EE2</v>
      </c>
      <c r="M1472" s="13" t="s">
        <v>4536</v>
      </c>
      <c r="N1472" s="7" t="s">
        <v>4853</v>
      </c>
      <c r="O1472" s="13" t="s">
        <v>2698</v>
      </c>
      <c r="P1472" s="115" t="s">
        <v>4754</v>
      </c>
      <c r="Q1472" s="8"/>
      <c r="R1472" s="2">
        <v>1</v>
      </c>
      <c r="S1472" s="9">
        <v>3500</v>
      </c>
      <c r="T1472" s="10">
        <f t="shared" si="341"/>
        <v>1750</v>
      </c>
      <c r="U1472" s="9">
        <v>0</v>
      </c>
      <c r="V1472" s="10">
        <f t="shared" si="342"/>
        <v>1750</v>
      </c>
      <c r="W1472" s="4" t="s">
        <v>122</v>
      </c>
      <c r="X1472" s="2"/>
      <c r="Y1472" s="11">
        <v>2</v>
      </c>
      <c r="Z1472" s="12">
        <f t="shared" si="334"/>
        <v>0</v>
      </c>
      <c r="AA1472" s="4" t="s">
        <v>27</v>
      </c>
      <c r="AC1472" s="176">
        <f t="shared" si="353"/>
        <v>0</v>
      </c>
    </row>
    <row r="1473" spans="2:29">
      <c r="B1473" s="183">
        <f t="shared" si="335"/>
        <v>42</v>
      </c>
      <c r="C1473" s="107" t="str">
        <f t="shared" si="336"/>
        <v>ATK</v>
      </c>
      <c r="D1473" s="2" t="s">
        <v>241</v>
      </c>
      <c r="E1473" s="3">
        <v>44119</v>
      </c>
      <c r="F1473" s="3">
        <v>44119</v>
      </c>
      <c r="G1473" s="108">
        <f t="shared" si="337"/>
        <v>10</v>
      </c>
      <c r="H1473" s="108" t="str">
        <f t="shared" si="338"/>
        <v>완료</v>
      </c>
      <c r="I1473" s="112" t="s">
        <v>218</v>
      </c>
      <c r="J1473" s="4" t="s">
        <v>121</v>
      </c>
      <c r="K1473" s="5" t="s">
        <v>136</v>
      </c>
      <c r="L1473" s="6" t="str">
        <f t="shared" si="360"/>
        <v>5T1</v>
      </c>
      <c r="M1473" s="13" t="s">
        <v>4756</v>
      </c>
      <c r="N1473" s="7" t="s">
        <v>588</v>
      </c>
      <c r="O1473" s="13" t="s">
        <v>461</v>
      </c>
      <c r="P1473" s="115" t="s">
        <v>4759</v>
      </c>
      <c r="Q1473" s="8"/>
      <c r="R1473" s="2">
        <v>2</v>
      </c>
      <c r="S1473" s="9">
        <v>2000</v>
      </c>
      <c r="T1473" s="10">
        <f t="shared" si="341"/>
        <v>2000</v>
      </c>
      <c r="U1473" s="9">
        <v>20</v>
      </c>
      <c r="V1473" s="10">
        <f t="shared" si="342"/>
        <v>1980</v>
      </c>
      <c r="W1473" s="4" t="s">
        <v>122</v>
      </c>
      <c r="X1473" s="2"/>
      <c r="Y1473" s="11">
        <v>4</v>
      </c>
      <c r="Z1473" s="12">
        <f t="shared" ref="Z1473:Z1534" si="361">F1473-E1473</f>
        <v>0</v>
      </c>
      <c r="AA1473" s="4" t="s">
        <v>212</v>
      </c>
      <c r="AC1473" s="176">
        <f t="shared" si="353"/>
        <v>1.8181818181818181E-2</v>
      </c>
    </row>
    <row r="1474" spans="2:29">
      <c r="B1474" s="183">
        <f t="shared" si="335"/>
        <v>42</v>
      </c>
      <c r="C1474" s="107" t="str">
        <f t="shared" si="336"/>
        <v>ATK</v>
      </c>
      <c r="D1474" s="2" t="s">
        <v>4755</v>
      </c>
      <c r="E1474" s="3">
        <v>44119</v>
      </c>
      <c r="F1474" s="3">
        <v>44119</v>
      </c>
      <c r="G1474" s="108">
        <f t="shared" si="337"/>
        <v>10</v>
      </c>
      <c r="H1474" s="108" t="str">
        <f t="shared" si="338"/>
        <v>완료</v>
      </c>
      <c r="I1474" s="112" t="s">
        <v>218</v>
      </c>
      <c r="J1474" s="4" t="s">
        <v>139</v>
      </c>
      <c r="K1474" s="5" t="s">
        <v>851</v>
      </c>
      <c r="L1474" s="6" t="str">
        <f t="shared" si="360"/>
        <v>6T1</v>
      </c>
      <c r="M1474" s="13" t="s">
        <v>4758</v>
      </c>
      <c r="N1474" s="7" t="s">
        <v>588</v>
      </c>
      <c r="O1474" s="13" t="s">
        <v>4757</v>
      </c>
      <c r="P1474" s="115" t="s">
        <v>4760</v>
      </c>
      <c r="Q1474" s="8"/>
      <c r="R1474" s="2">
        <v>2</v>
      </c>
      <c r="S1474" s="9">
        <v>1000</v>
      </c>
      <c r="T1474" s="10">
        <f t="shared" ref="T1474:T1504" si="362">(S1474*50)/100*R1474</f>
        <v>1000</v>
      </c>
      <c r="U1474" s="9">
        <v>20</v>
      </c>
      <c r="V1474" s="10">
        <f t="shared" ref="V1474:V1504" si="363">T1474-U1474</f>
        <v>980</v>
      </c>
      <c r="W1474" s="4" t="s">
        <v>122</v>
      </c>
      <c r="X1474" s="2"/>
      <c r="Y1474" s="11">
        <v>2</v>
      </c>
      <c r="Z1474" s="12">
        <f t="shared" si="361"/>
        <v>0</v>
      </c>
      <c r="AA1474" s="4" t="s">
        <v>212</v>
      </c>
      <c r="AC1474" s="176">
        <f t="shared" si="353"/>
        <v>1.8181818181818181E-2</v>
      </c>
    </row>
    <row r="1475" spans="2:29">
      <c r="B1475" s="183">
        <f t="shared" ref="B1475:B1537" si="364">IF(F1475&gt;0,IFERROR(WEEKNUM(F1475),""),"")</f>
        <v>42</v>
      </c>
      <c r="C1475" s="107" t="str">
        <f t="shared" ref="C1475:C1537" si="365">IF(D1475=0,"",(IF(LEFT(D1475,3)="ATK","ATK",IF(LEFT(D1475,2)="AT",D1475,"ATK"))))</f>
        <v>ATK</v>
      </c>
      <c r="D1475" s="2" t="s">
        <v>952</v>
      </c>
      <c r="E1475" s="3">
        <v>44119</v>
      </c>
      <c r="F1475" s="3">
        <v>44119</v>
      </c>
      <c r="G1475" s="108">
        <f t="shared" ref="G1475:G1537" si="366">IF(F1475&gt;0,MONTH(F1475),"")</f>
        <v>10</v>
      </c>
      <c r="H1475" s="108" t="str">
        <f t="shared" ref="H1475:H1537" si="367">IF(I1475=0,"",IF(RIGHT(I1475,2)="완료","완료",IF(RIGHT(I1475,2)="불가","수리불가",IF(RIGHT(I1475,1)="중","수리중","Other"))))</f>
        <v>완료</v>
      </c>
      <c r="I1475" s="112" t="s">
        <v>218</v>
      </c>
      <c r="J1475" s="4" t="s">
        <v>499</v>
      </c>
      <c r="K1475" s="5" t="s">
        <v>499</v>
      </c>
      <c r="L1475" s="6" t="str">
        <f t="shared" si="360"/>
        <v>QA</v>
      </c>
      <c r="M1475" s="13" t="s">
        <v>4761</v>
      </c>
      <c r="N1475" s="7" t="s">
        <v>4160</v>
      </c>
      <c r="O1475" s="13" t="s">
        <v>4161</v>
      </c>
      <c r="P1475" s="115" t="s">
        <v>4762</v>
      </c>
      <c r="Q1475" s="8" t="s">
        <v>4763</v>
      </c>
      <c r="R1475" s="2">
        <v>2</v>
      </c>
      <c r="S1475" s="9">
        <v>220</v>
      </c>
      <c r="T1475" s="10">
        <f t="shared" si="362"/>
        <v>220</v>
      </c>
      <c r="U1475" s="9">
        <v>0</v>
      </c>
      <c r="V1475" s="10">
        <f t="shared" si="363"/>
        <v>220</v>
      </c>
      <c r="W1475" s="4" t="s">
        <v>122</v>
      </c>
      <c r="X1475" s="2"/>
      <c r="Y1475" s="11">
        <v>2</v>
      </c>
      <c r="Z1475" s="12">
        <f t="shared" si="361"/>
        <v>0</v>
      </c>
      <c r="AA1475" s="4" t="s">
        <v>120</v>
      </c>
      <c r="AC1475" s="176">
        <f t="shared" si="353"/>
        <v>0</v>
      </c>
    </row>
    <row r="1476" spans="2:29">
      <c r="B1476" s="183">
        <f t="shared" si="364"/>
        <v>42</v>
      </c>
      <c r="C1476" s="107" t="str">
        <f t="shared" si="365"/>
        <v>ATK</v>
      </c>
      <c r="D1476" s="2" t="s">
        <v>541</v>
      </c>
      <c r="E1476" s="3">
        <v>44120</v>
      </c>
      <c r="F1476" s="3">
        <v>44120</v>
      </c>
      <c r="G1476" s="108">
        <f t="shared" si="366"/>
        <v>10</v>
      </c>
      <c r="H1476" s="108" t="str">
        <f t="shared" si="367"/>
        <v>완료</v>
      </c>
      <c r="I1476" s="112" t="s">
        <v>218</v>
      </c>
      <c r="J1476" s="4" t="s">
        <v>132</v>
      </c>
      <c r="K1476" s="5" t="s">
        <v>322</v>
      </c>
      <c r="L1476" s="6" t="str">
        <f t="shared" si="360"/>
        <v>3T1</v>
      </c>
      <c r="M1476" s="13" t="s">
        <v>542</v>
      </c>
      <c r="N1476" s="7" t="s">
        <v>4530</v>
      </c>
      <c r="O1476" s="13" t="s">
        <v>543</v>
      </c>
      <c r="P1476" s="115" t="s">
        <v>544</v>
      </c>
      <c r="Q1476" s="8"/>
      <c r="R1476" s="2">
        <v>2</v>
      </c>
      <c r="S1476" s="9">
        <v>70</v>
      </c>
      <c r="T1476" s="10">
        <f t="shared" si="362"/>
        <v>70</v>
      </c>
      <c r="U1476" s="9">
        <v>1</v>
      </c>
      <c r="V1476" s="10">
        <f t="shared" si="363"/>
        <v>69</v>
      </c>
      <c r="W1476" s="4" t="s">
        <v>122</v>
      </c>
      <c r="X1476" s="2"/>
      <c r="Y1476" s="11">
        <v>3</v>
      </c>
      <c r="Z1476" s="12">
        <f t="shared" si="361"/>
        <v>0</v>
      </c>
      <c r="AA1476" s="4" t="s">
        <v>175</v>
      </c>
      <c r="AC1476" s="176">
        <f t="shared" si="353"/>
        <v>9.0909090909090909E-4</v>
      </c>
    </row>
    <row r="1477" spans="2:29">
      <c r="B1477" s="183">
        <f t="shared" si="364"/>
        <v>42</v>
      </c>
      <c r="C1477" s="107" t="str">
        <f t="shared" si="365"/>
        <v>ATK</v>
      </c>
      <c r="D1477" s="2" t="s">
        <v>4767</v>
      </c>
      <c r="E1477" s="3">
        <v>44120</v>
      </c>
      <c r="F1477" s="3">
        <v>44120</v>
      </c>
      <c r="G1477" s="108">
        <f t="shared" si="366"/>
        <v>10</v>
      </c>
      <c r="H1477" s="108" t="str">
        <f t="shared" si="367"/>
        <v>Other</v>
      </c>
      <c r="I1477" s="112" t="s">
        <v>251</v>
      </c>
      <c r="J1477" s="4" t="s">
        <v>4766</v>
      </c>
      <c r="K1477" s="5" t="s">
        <v>4767</v>
      </c>
      <c r="L1477" s="6" t="str">
        <f t="shared" si="360"/>
        <v>K5</v>
      </c>
      <c r="M1477" s="13" t="s">
        <v>4769</v>
      </c>
      <c r="N1477" s="7" t="s">
        <v>4768</v>
      </c>
      <c r="O1477" s="13" t="s">
        <v>4769</v>
      </c>
      <c r="P1477" s="115" t="s">
        <v>4770</v>
      </c>
      <c r="Q1477" s="8"/>
      <c r="R1477" s="2">
        <v>1</v>
      </c>
      <c r="S1477" s="9">
        <v>0</v>
      </c>
      <c r="T1477" s="10">
        <f t="shared" si="362"/>
        <v>0</v>
      </c>
      <c r="U1477" s="9">
        <v>0</v>
      </c>
      <c r="V1477" s="10">
        <f t="shared" si="363"/>
        <v>0</v>
      </c>
      <c r="W1477" s="4" t="s">
        <v>4771</v>
      </c>
      <c r="X1477" s="2"/>
      <c r="Y1477" s="11">
        <v>8</v>
      </c>
      <c r="Z1477" s="12">
        <f t="shared" si="361"/>
        <v>0</v>
      </c>
      <c r="AA1477" s="4" t="s">
        <v>4765</v>
      </c>
      <c r="AC1477" s="176">
        <f t="shared" si="353"/>
        <v>0</v>
      </c>
    </row>
    <row r="1478" spans="2:29">
      <c r="B1478" s="183">
        <f t="shared" si="364"/>
        <v>42</v>
      </c>
      <c r="C1478" s="107" t="str">
        <f t="shared" si="365"/>
        <v>ATK</v>
      </c>
      <c r="D1478" s="2" t="s">
        <v>4767</v>
      </c>
      <c r="E1478" s="3">
        <v>44120</v>
      </c>
      <c r="F1478" s="3">
        <v>44120</v>
      </c>
      <c r="G1478" s="108">
        <f t="shared" si="366"/>
        <v>10</v>
      </c>
      <c r="H1478" s="108" t="str">
        <f t="shared" si="367"/>
        <v>Other</v>
      </c>
      <c r="I1478" s="112" t="s">
        <v>251</v>
      </c>
      <c r="J1478" s="4" t="s">
        <v>4767</v>
      </c>
      <c r="K1478" s="5" t="s">
        <v>4767</v>
      </c>
      <c r="L1478" s="6" t="s">
        <v>4767</v>
      </c>
      <c r="M1478" s="13" t="s">
        <v>4769</v>
      </c>
      <c r="N1478" s="7" t="s">
        <v>4768</v>
      </c>
      <c r="O1478" s="13" t="s">
        <v>4769</v>
      </c>
      <c r="P1478" s="115" t="s">
        <v>4770</v>
      </c>
      <c r="Q1478" s="8"/>
      <c r="R1478" s="2">
        <v>1</v>
      </c>
      <c r="S1478" s="9">
        <v>0</v>
      </c>
      <c r="T1478" s="10">
        <f t="shared" si="362"/>
        <v>0</v>
      </c>
      <c r="U1478" s="9">
        <v>0</v>
      </c>
      <c r="V1478" s="10">
        <f t="shared" si="363"/>
        <v>0</v>
      </c>
      <c r="W1478" s="4" t="s">
        <v>4771</v>
      </c>
      <c r="X1478" s="2"/>
      <c r="Y1478" s="11">
        <v>8</v>
      </c>
      <c r="Z1478" s="12">
        <f t="shared" si="361"/>
        <v>0</v>
      </c>
      <c r="AA1478" s="4" t="s">
        <v>4764</v>
      </c>
      <c r="AC1478" s="176">
        <f t="shared" si="353"/>
        <v>0</v>
      </c>
    </row>
    <row r="1479" spans="2:29">
      <c r="B1479" s="183">
        <f t="shared" si="364"/>
        <v>43</v>
      </c>
      <c r="C1479" s="107" t="str">
        <f t="shared" si="365"/>
        <v>ATK</v>
      </c>
      <c r="D1479" s="2" t="s">
        <v>4772</v>
      </c>
      <c r="E1479" s="3">
        <v>44119</v>
      </c>
      <c r="F1479" s="3">
        <v>44123</v>
      </c>
      <c r="G1479" s="108">
        <f t="shared" si="366"/>
        <v>10</v>
      </c>
      <c r="H1479" s="108" t="str">
        <f t="shared" si="367"/>
        <v>Other</v>
      </c>
      <c r="I1479" s="112" t="s">
        <v>4773</v>
      </c>
      <c r="J1479" s="4" t="s">
        <v>127</v>
      </c>
      <c r="K1479" s="5" t="s">
        <v>209</v>
      </c>
      <c r="L1479" s="6" t="str">
        <f t="shared" ref="L1479" si="368">LEFT(K1479,3)</f>
        <v>1T2</v>
      </c>
      <c r="M1479" s="13" t="s">
        <v>2993</v>
      </c>
      <c r="N1479" s="7" t="s">
        <v>4774</v>
      </c>
      <c r="O1479" s="13" t="s">
        <v>2993</v>
      </c>
      <c r="P1479" s="115" t="s">
        <v>4775</v>
      </c>
      <c r="Q1479" s="8" t="s">
        <v>4800</v>
      </c>
      <c r="R1479" s="2">
        <v>1</v>
      </c>
      <c r="S1479" s="9">
        <v>1800</v>
      </c>
      <c r="T1479" s="10">
        <f t="shared" si="362"/>
        <v>900</v>
      </c>
      <c r="U1479" s="9">
        <v>0</v>
      </c>
      <c r="V1479" s="10">
        <f t="shared" si="363"/>
        <v>900</v>
      </c>
      <c r="W1479" s="4" t="s">
        <v>4776</v>
      </c>
      <c r="X1479" s="2"/>
      <c r="Y1479" s="11">
        <v>1</v>
      </c>
      <c r="Z1479" s="12">
        <f t="shared" si="361"/>
        <v>4</v>
      </c>
      <c r="AA1479" s="4" t="s">
        <v>4777</v>
      </c>
      <c r="AC1479" s="176">
        <f t="shared" si="353"/>
        <v>0</v>
      </c>
    </row>
    <row r="1480" spans="2:29">
      <c r="B1480" s="183">
        <f t="shared" si="364"/>
        <v>43</v>
      </c>
      <c r="C1480" s="107" t="str">
        <f t="shared" si="365"/>
        <v>ATK</v>
      </c>
      <c r="D1480" s="2" t="s">
        <v>316</v>
      </c>
      <c r="E1480" s="3">
        <v>44123</v>
      </c>
      <c r="F1480" s="3">
        <v>44123</v>
      </c>
      <c r="G1480" s="108">
        <f t="shared" si="366"/>
        <v>10</v>
      </c>
      <c r="H1480" s="108" t="str">
        <f t="shared" si="367"/>
        <v>완료</v>
      </c>
      <c r="I1480" s="112" t="s">
        <v>218</v>
      </c>
      <c r="J1480" s="4" t="s">
        <v>121</v>
      </c>
      <c r="K1480" s="5" t="s">
        <v>229</v>
      </c>
      <c r="L1480" s="6" t="str">
        <f t="shared" si="360"/>
        <v>5T2</v>
      </c>
      <c r="M1480" s="13" t="s">
        <v>913</v>
      </c>
      <c r="N1480" s="7" t="s">
        <v>4778</v>
      </c>
      <c r="O1480" s="13" t="s">
        <v>2668</v>
      </c>
      <c r="P1480" s="115" t="s">
        <v>4779</v>
      </c>
      <c r="Q1480" s="8" t="s">
        <v>4780</v>
      </c>
      <c r="R1480" s="2">
        <v>1</v>
      </c>
      <c r="S1480" s="9">
        <v>4200</v>
      </c>
      <c r="T1480" s="10">
        <f t="shared" si="362"/>
        <v>2100</v>
      </c>
      <c r="U1480" s="9">
        <v>0</v>
      </c>
      <c r="V1480" s="10">
        <f t="shared" si="363"/>
        <v>2100</v>
      </c>
      <c r="W1480" s="4" t="s">
        <v>122</v>
      </c>
      <c r="X1480" s="2"/>
      <c r="Y1480" s="11">
        <v>3</v>
      </c>
      <c r="Z1480" s="12">
        <f t="shared" si="361"/>
        <v>0</v>
      </c>
      <c r="AA1480" s="4" t="s">
        <v>120</v>
      </c>
      <c r="AC1480" s="176">
        <f t="shared" si="353"/>
        <v>0</v>
      </c>
    </row>
    <row r="1481" spans="2:29">
      <c r="B1481" s="183">
        <f t="shared" si="364"/>
        <v>43</v>
      </c>
      <c r="C1481" s="107" t="str">
        <f t="shared" si="365"/>
        <v>ATK</v>
      </c>
      <c r="D1481" s="2" t="s">
        <v>217</v>
      </c>
      <c r="E1481" s="3">
        <v>44123</v>
      </c>
      <c r="F1481" s="3">
        <v>44123</v>
      </c>
      <c r="G1481" s="108">
        <f t="shared" si="366"/>
        <v>10</v>
      </c>
      <c r="H1481" s="108" t="str">
        <f t="shared" si="367"/>
        <v>완료</v>
      </c>
      <c r="I1481" s="112" t="s">
        <v>218</v>
      </c>
      <c r="J1481" s="4" t="s">
        <v>127</v>
      </c>
      <c r="K1481" s="5" t="s">
        <v>131</v>
      </c>
      <c r="L1481" s="6" t="str">
        <f t="shared" si="360"/>
        <v>1T4</v>
      </c>
      <c r="M1481" s="13" t="s">
        <v>4585</v>
      </c>
      <c r="N1481" s="7" t="s">
        <v>4781</v>
      </c>
      <c r="O1481" s="13" t="s">
        <v>4782</v>
      </c>
      <c r="P1481" s="115" t="s">
        <v>4783</v>
      </c>
      <c r="Q1481" s="8"/>
      <c r="R1481" s="2">
        <v>2</v>
      </c>
      <c r="S1481" s="9">
        <v>1000</v>
      </c>
      <c r="T1481" s="10">
        <f t="shared" si="362"/>
        <v>1000</v>
      </c>
      <c r="U1481" s="9"/>
      <c r="V1481" s="10">
        <f t="shared" si="363"/>
        <v>1000</v>
      </c>
      <c r="W1481" s="4" t="s">
        <v>122</v>
      </c>
      <c r="X1481" s="2"/>
      <c r="Y1481" s="11">
        <v>4</v>
      </c>
      <c r="Z1481" s="12">
        <f t="shared" si="361"/>
        <v>0</v>
      </c>
      <c r="AA1481" s="4" t="s">
        <v>212</v>
      </c>
      <c r="AC1481" s="176">
        <f t="shared" si="353"/>
        <v>0</v>
      </c>
    </row>
    <row r="1482" spans="2:29">
      <c r="B1482" s="183">
        <f t="shared" si="364"/>
        <v>43</v>
      </c>
      <c r="C1482" s="107" t="str">
        <f t="shared" si="365"/>
        <v>ATK</v>
      </c>
      <c r="D1482" s="2" t="s">
        <v>223</v>
      </c>
      <c r="E1482" s="3">
        <v>44123</v>
      </c>
      <c r="F1482" s="3">
        <v>44123</v>
      </c>
      <c r="G1482" s="108">
        <f t="shared" si="366"/>
        <v>10</v>
      </c>
      <c r="H1482" s="108" t="str">
        <f t="shared" si="367"/>
        <v>완료</v>
      </c>
      <c r="I1482" s="112" t="s">
        <v>218</v>
      </c>
      <c r="J1482" s="4" t="s">
        <v>121</v>
      </c>
      <c r="K1482" s="5" t="s">
        <v>136</v>
      </c>
      <c r="L1482" s="6" t="str">
        <f t="shared" si="360"/>
        <v>5T1</v>
      </c>
      <c r="M1482" s="13" t="s">
        <v>242</v>
      </c>
      <c r="N1482" s="7" t="s">
        <v>4784</v>
      </c>
      <c r="O1482" s="13" t="s">
        <v>4161</v>
      </c>
      <c r="P1482" s="115" t="s">
        <v>4785</v>
      </c>
      <c r="Q1482" s="8" t="s">
        <v>4786</v>
      </c>
      <c r="R1482" s="2">
        <v>1</v>
      </c>
      <c r="S1482" s="9">
        <v>82</v>
      </c>
      <c r="T1482" s="10">
        <f t="shared" si="362"/>
        <v>41</v>
      </c>
      <c r="U1482" s="9">
        <v>0</v>
      </c>
      <c r="V1482" s="10">
        <f t="shared" si="363"/>
        <v>41</v>
      </c>
      <c r="W1482" s="4" t="s">
        <v>122</v>
      </c>
      <c r="X1482" s="2"/>
      <c r="Y1482" s="11">
        <v>2</v>
      </c>
      <c r="Z1482" s="12">
        <f t="shared" si="361"/>
        <v>0</v>
      </c>
      <c r="AA1482" s="4" t="s">
        <v>120</v>
      </c>
      <c r="AC1482" s="176">
        <f t="shared" si="353"/>
        <v>0</v>
      </c>
    </row>
    <row r="1483" spans="2:29">
      <c r="B1483" s="183">
        <f t="shared" si="364"/>
        <v>43</v>
      </c>
      <c r="C1483" s="107" t="str">
        <f t="shared" si="365"/>
        <v>ATK</v>
      </c>
      <c r="D1483" s="2" t="s">
        <v>4787</v>
      </c>
      <c r="E1483" s="3">
        <v>44119</v>
      </c>
      <c r="F1483" s="3">
        <v>44123</v>
      </c>
      <c r="G1483" s="108">
        <f t="shared" si="366"/>
        <v>10</v>
      </c>
      <c r="H1483" s="108" t="str">
        <f t="shared" si="367"/>
        <v>완료</v>
      </c>
      <c r="I1483" s="112" t="s">
        <v>4788</v>
      </c>
      <c r="J1483" s="4" t="s">
        <v>4789</v>
      </c>
      <c r="K1483" s="5" t="s">
        <v>4790</v>
      </c>
      <c r="L1483" s="6" t="str">
        <f t="shared" si="360"/>
        <v>1T3</v>
      </c>
      <c r="M1483" s="13" t="s">
        <v>4791</v>
      </c>
      <c r="N1483" s="7" t="s">
        <v>4134</v>
      </c>
      <c r="O1483" s="13" t="s">
        <v>4792</v>
      </c>
      <c r="P1483" s="115" t="s">
        <v>4795</v>
      </c>
      <c r="Q1483" s="8"/>
      <c r="R1483" s="2">
        <v>2</v>
      </c>
      <c r="S1483" s="9">
        <v>600</v>
      </c>
      <c r="T1483" s="10">
        <f t="shared" si="362"/>
        <v>600</v>
      </c>
      <c r="U1483" s="9">
        <v>5</v>
      </c>
      <c r="V1483" s="10">
        <f t="shared" si="363"/>
        <v>595</v>
      </c>
      <c r="W1483" s="4" t="s">
        <v>4796</v>
      </c>
      <c r="X1483" s="2"/>
      <c r="Y1483" s="11">
        <v>6</v>
      </c>
      <c r="Z1483" s="12">
        <f t="shared" si="361"/>
        <v>4</v>
      </c>
      <c r="AA1483" s="4" t="s">
        <v>4797</v>
      </c>
      <c r="AC1483" s="176">
        <f t="shared" si="353"/>
        <v>4.5454545454545452E-3</v>
      </c>
    </row>
    <row r="1484" spans="2:29">
      <c r="B1484" s="183">
        <f t="shared" si="364"/>
        <v>43</v>
      </c>
      <c r="C1484" s="107" t="str">
        <f t="shared" si="365"/>
        <v>ATP</v>
      </c>
      <c r="D1484" s="2" t="s">
        <v>961</v>
      </c>
      <c r="E1484" s="3">
        <v>44123</v>
      </c>
      <c r="F1484" s="3">
        <v>44127</v>
      </c>
      <c r="G1484" s="108">
        <f t="shared" si="366"/>
        <v>10</v>
      </c>
      <c r="H1484" s="108" t="str">
        <f t="shared" si="367"/>
        <v>완료</v>
      </c>
      <c r="I1484" s="112" t="s">
        <v>264</v>
      </c>
      <c r="J1484" s="4" t="s">
        <v>961</v>
      </c>
      <c r="K1484" s="5" t="s">
        <v>961</v>
      </c>
      <c r="L1484" s="6" t="str">
        <f t="shared" si="360"/>
        <v>ATP</v>
      </c>
      <c r="M1484" s="13" t="s">
        <v>256</v>
      </c>
      <c r="N1484" s="13" t="s">
        <v>3621</v>
      </c>
      <c r="O1484" s="13" t="s">
        <v>4219</v>
      </c>
      <c r="P1484" s="115" t="s">
        <v>4227</v>
      </c>
      <c r="Q1484" s="8" t="s">
        <v>4798</v>
      </c>
      <c r="R1484" s="2">
        <v>1</v>
      </c>
      <c r="S1484" s="9">
        <v>3109</v>
      </c>
      <c r="T1484" s="10">
        <f t="shared" si="362"/>
        <v>1554.5</v>
      </c>
      <c r="U1484" s="9">
        <v>15</v>
      </c>
      <c r="V1484" s="10">
        <f t="shared" si="363"/>
        <v>1539.5</v>
      </c>
      <c r="W1484" s="4" t="s">
        <v>249</v>
      </c>
      <c r="X1484" s="2"/>
      <c r="Y1484" s="11">
        <v>6</v>
      </c>
      <c r="Z1484" s="12">
        <f t="shared" si="361"/>
        <v>4</v>
      </c>
      <c r="AA1484" s="4" t="s">
        <v>174</v>
      </c>
      <c r="AC1484" s="176">
        <f t="shared" si="353"/>
        <v>1.3636363636363636E-2</v>
      </c>
    </row>
    <row r="1485" spans="2:29">
      <c r="B1485" s="183">
        <f t="shared" si="364"/>
        <v>43</v>
      </c>
      <c r="C1485" s="107" t="str">
        <f t="shared" si="365"/>
        <v>ATP</v>
      </c>
      <c r="D1485" s="2" t="s">
        <v>961</v>
      </c>
      <c r="E1485" s="3">
        <v>44123</v>
      </c>
      <c r="F1485" s="3">
        <v>44127</v>
      </c>
      <c r="G1485" s="108">
        <f t="shared" si="366"/>
        <v>10</v>
      </c>
      <c r="H1485" s="108" t="str">
        <f t="shared" si="367"/>
        <v>완료</v>
      </c>
      <c r="I1485" s="112" t="s">
        <v>4833</v>
      </c>
      <c r="J1485" s="4" t="s">
        <v>961</v>
      </c>
      <c r="K1485" s="5" t="s">
        <v>961</v>
      </c>
      <c r="L1485" s="6" t="str">
        <f t="shared" si="360"/>
        <v>ATP</v>
      </c>
      <c r="M1485" s="13" t="s">
        <v>256</v>
      </c>
      <c r="N1485" s="13" t="s">
        <v>3621</v>
      </c>
      <c r="O1485" s="13" t="s">
        <v>4219</v>
      </c>
      <c r="P1485" s="115" t="s">
        <v>4834</v>
      </c>
      <c r="Q1485" s="8" t="s">
        <v>4799</v>
      </c>
      <c r="R1485" s="2">
        <v>1</v>
      </c>
      <c r="S1485" s="9">
        <v>3109</v>
      </c>
      <c r="T1485" s="10">
        <f t="shared" si="362"/>
        <v>1554.5</v>
      </c>
      <c r="U1485" s="9">
        <v>15</v>
      </c>
      <c r="V1485" s="10">
        <f t="shared" si="363"/>
        <v>1539.5</v>
      </c>
      <c r="W1485" s="4" t="s">
        <v>249</v>
      </c>
      <c r="X1485" s="2"/>
      <c r="Y1485" s="11">
        <v>6</v>
      </c>
      <c r="Z1485" s="12">
        <f t="shared" si="361"/>
        <v>4</v>
      </c>
      <c r="AA1485" s="4" t="s">
        <v>174</v>
      </c>
      <c r="AC1485" s="176">
        <f t="shared" si="353"/>
        <v>1.3636363636363636E-2</v>
      </c>
    </row>
    <row r="1486" spans="2:29">
      <c r="B1486" s="183">
        <f t="shared" si="364"/>
        <v>43</v>
      </c>
      <c r="C1486" s="107" t="str">
        <f t="shared" si="365"/>
        <v>ATK</v>
      </c>
      <c r="D1486" s="2" t="s">
        <v>4801</v>
      </c>
      <c r="E1486" s="3">
        <v>44124</v>
      </c>
      <c r="F1486" s="3">
        <v>44124</v>
      </c>
      <c r="G1486" s="108">
        <f t="shared" si="366"/>
        <v>10</v>
      </c>
      <c r="H1486" s="108" t="str">
        <f t="shared" si="367"/>
        <v>완료</v>
      </c>
      <c r="I1486" s="112" t="s">
        <v>218</v>
      </c>
      <c r="J1486" s="4" t="s">
        <v>115</v>
      </c>
      <c r="K1486" s="5" t="s">
        <v>116</v>
      </c>
      <c r="L1486" s="6" t="str">
        <f t="shared" si="360"/>
        <v>EE2</v>
      </c>
      <c r="M1486" s="13" t="s">
        <v>256</v>
      </c>
      <c r="N1486" s="13" t="s">
        <v>4802</v>
      </c>
      <c r="O1486" s="13" t="s">
        <v>4803</v>
      </c>
      <c r="P1486" s="115" t="s">
        <v>4804</v>
      </c>
      <c r="Q1486" s="8"/>
      <c r="R1486" s="2">
        <v>1</v>
      </c>
      <c r="S1486" s="9">
        <v>3500</v>
      </c>
      <c r="T1486" s="10">
        <f t="shared" si="362"/>
        <v>1750</v>
      </c>
      <c r="U1486" s="9">
        <v>150</v>
      </c>
      <c r="V1486" s="10">
        <f t="shared" si="363"/>
        <v>1600</v>
      </c>
      <c r="W1486" s="4" t="s">
        <v>122</v>
      </c>
      <c r="X1486" s="2"/>
      <c r="Y1486" s="11">
        <v>4</v>
      </c>
      <c r="Z1486" s="12">
        <f t="shared" si="361"/>
        <v>0</v>
      </c>
      <c r="AA1486" s="4" t="s">
        <v>212</v>
      </c>
      <c r="AC1486" s="176">
        <f t="shared" si="353"/>
        <v>0.13636363636363635</v>
      </c>
    </row>
    <row r="1487" spans="2:29">
      <c r="B1487" s="183">
        <f t="shared" si="364"/>
        <v>43</v>
      </c>
      <c r="C1487" s="107" t="str">
        <f t="shared" si="365"/>
        <v>ATK</v>
      </c>
      <c r="D1487" s="2" t="s">
        <v>933</v>
      </c>
      <c r="E1487" s="3">
        <v>44124</v>
      </c>
      <c r="F1487" s="3">
        <v>44124</v>
      </c>
      <c r="G1487" s="108">
        <f t="shared" si="366"/>
        <v>10</v>
      </c>
      <c r="H1487" s="108" t="str">
        <f t="shared" si="367"/>
        <v>완료</v>
      </c>
      <c r="I1487" s="112" t="s">
        <v>519</v>
      </c>
      <c r="J1487" s="4" t="s">
        <v>569</v>
      </c>
      <c r="K1487" s="5" t="s">
        <v>570</v>
      </c>
      <c r="L1487" s="6" t="str">
        <f t="shared" si="360"/>
        <v>EE1</v>
      </c>
      <c r="M1487" s="13" t="s">
        <v>934</v>
      </c>
      <c r="N1487" s="7" t="s">
        <v>3841</v>
      </c>
      <c r="O1487" s="13" t="s">
        <v>339</v>
      </c>
      <c r="P1487" s="115" t="s">
        <v>4806</v>
      </c>
      <c r="Q1487" s="8"/>
      <c r="R1487" s="2">
        <v>1</v>
      </c>
      <c r="S1487" s="9">
        <v>660</v>
      </c>
      <c r="T1487" s="10">
        <f t="shared" si="362"/>
        <v>330</v>
      </c>
      <c r="U1487" s="9">
        <v>10</v>
      </c>
      <c r="V1487" s="10">
        <f t="shared" si="363"/>
        <v>320</v>
      </c>
      <c r="W1487" s="4" t="s">
        <v>485</v>
      </c>
      <c r="X1487" s="2"/>
      <c r="Y1487" s="11">
        <v>4</v>
      </c>
      <c r="Z1487" s="12">
        <f t="shared" si="361"/>
        <v>0</v>
      </c>
      <c r="AA1487" s="4" t="s">
        <v>174</v>
      </c>
      <c r="AC1487" s="176">
        <f t="shared" si="353"/>
        <v>9.0909090909090905E-3</v>
      </c>
    </row>
    <row r="1488" spans="2:29">
      <c r="B1488" s="183">
        <f t="shared" si="364"/>
        <v>43</v>
      </c>
      <c r="C1488" s="107" t="str">
        <f t="shared" si="365"/>
        <v>ATK</v>
      </c>
      <c r="D1488" s="2" t="s">
        <v>4807</v>
      </c>
      <c r="E1488" s="3">
        <v>44124</v>
      </c>
      <c r="F1488" s="3">
        <v>44124</v>
      </c>
      <c r="G1488" s="108">
        <f t="shared" si="366"/>
        <v>10</v>
      </c>
      <c r="H1488" s="108" t="str">
        <f t="shared" si="367"/>
        <v>완료</v>
      </c>
      <c r="I1488" s="112" t="s">
        <v>218</v>
      </c>
      <c r="J1488" s="4" t="s">
        <v>115</v>
      </c>
      <c r="K1488" s="5" t="s">
        <v>138</v>
      </c>
      <c r="L1488" s="6" t="str">
        <f t="shared" si="360"/>
        <v>EE1</v>
      </c>
      <c r="M1488" s="13" t="s">
        <v>4808</v>
      </c>
      <c r="N1488" s="7" t="s">
        <v>4809</v>
      </c>
      <c r="O1488" s="13" t="s">
        <v>543</v>
      </c>
      <c r="P1488" s="115" t="s">
        <v>4810</v>
      </c>
      <c r="Q1488" s="8" t="s">
        <v>4811</v>
      </c>
      <c r="R1488" s="2">
        <v>1</v>
      </c>
      <c r="S1488" s="9">
        <v>14000</v>
      </c>
      <c r="T1488" s="10">
        <f t="shared" si="362"/>
        <v>7000</v>
      </c>
      <c r="U1488" s="9">
        <v>10</v>
      </c>
      <c r="V1488" s="10">
        <f t="shared" si="363"/>
        <v>6990</v>
      </c>
      <c r="W1488" s="4" t="s">
        <v>122</v>
      </c>
      <c r="X1488" s="2"/>
      <c r="Y1488" s="11">
        <v>6</v>
      </c>
      <c r="Z1488" s="12">
        <f t="shared" si="361"/>
        <v>0</v>
      </c>
      <c r="AA1488" s="4" t="s">
        <v>120</v>
      </c>
      <c r="AC1488" s="176">
        <f t="shared" si="353"/>
        <v>9.0909090909090905E-3</v>
      </c>
    </row>
    <row r="1489" spans="2:29">
      <c r="B1489" s="183">
        <f t="shared" si="364"/>
        <v>43</v>
      </c>
      <c r="C1489" s="107" t="str">
        <f t="shared" si="365"/>
        <v>ATK</v>
      </c>
      <c r="D1489" s="2" t="s">
        <v>4739</v>
      </c>
      <c r="E1489" s="3">
        <v>44125</v>
      </c>
      <c r="F1489" s="3">
        <v>44125</v>
      </c>
      <c r="G1489" s="108">
        <f t="shared" si="366"/>
        <v>10</v>
      </c>
      <c r="H1489" s="108" t="str">
        <f t="shared" si="367"/>
        <v>완료</v>
      </c>
      <c r="I1489" s="112" t="s">
        <v>218</v>
      </c>
      <c r="J1489" s="4" t="s">
        <v>243</v>
      </c>
      <c r="K1489" s="5" t="s">
        <v>243</v>
      </c>
      <c r="L1489" s="6" t="str">
        <f t="shared" si="360"/>
        <v>K5</v>
      </c>
      <c r="M1489" s="13" t="s">
        <v>4735</v>
      </c>
      <c r="N1489" s="7" t="s">
        <v>4812</v>
      </c>
      <c r="O1489" s="13" t="s">
        <v>4813</v>
      </c>
      <c r="P1489" s="115" t="s">
        <v>4814</v>
      </c>
      <c r="Q1489" s="8"/>
      <c r="R1489" s="2">
        <v>1</v>
      </c>
      <c r="S1489" s="9">
        <v>1000</v>
      </c>
      <c r="T1489" s="10">
        <f t="shared" si="362"/>
        <v>500</v>
      </c>
      <c r="U1489" s="9">
        <v>30</v>
      </c>
      <c r="V1489" s="10">
        <f t="shared" si="363"/>
        <v>470</v>
      </c>
      <c r="W1489" s="4" t="s">
        <v>122</v>
      </c>
      <c r="X1489" s="2"/>
      <c r="Y1489" s="11">
        <v>5</v>
      </c>
      <c r="Z1489" s="12">
        <f t="shared" si="361"/>
        <v>0</v>
      </c>
      <c r="AA1489" s="4" t="s">
        <v>212</v>
      </c>
      <c r="AC1489" s="176">
        <f t="shared" si="353"/>
        <v>2.7272727272727271E-2</v>
      </c>
    </row>
    <row r="1490" spans="2:29">
      <c r="B1490" s="183">
        <f t="shared" si="364"/>
        <v>43</v>
      </c>
      <c r="C1490" s="107" t="str">
        <f t="shared" si="365"/>
        <v>ATK</v>
      </c>
      <c r="D1490" s="2" t="s">
        <v>316</v>
      </c>
      <c r="E1490" s="3">
        <v>44129</v>
      </c>
      <c r="F1490" s="3">
        <v>44125</v>
      </c>
      <c r="G1490" s="108">
        <f t="shared" si="366"/>
        <v>10</v>
      </c>
      <c r="H1490" s="108" t="str">
        <f t="shared" si="367"/>
        <v>완료</v>
      </c>
      <c r="I1490" s="112" t="s">
        <v>218</v>
      </c>
      <c r="J1490" s="4" t="s">
        <v>121</v>
      </c>
      <c r="K1490" s="5" t="s">
        <v>229</v>
      </c>
      <c r="L1490" s="6" t="str">
        <f t="shared" si="360"/>
        <v>5T2</v>
      </c>
      <c r="M1490" s="13" t="s">
        <v>913</v>
      </c>
      <c r="N1490" s="7" t="s">
        <v>4778</v>
      </c>
      <c r="O1490" s="13" t="s">
        <v>4815</v>
      </c>
      <c r="P1490" s="115" t="s">
        <v>4816</v>
      </c>
      <c r="Q1490" s="8" t="s">
        <v>4817</v>
      </c>
      <c r="R1490" s="2">
        <v>1</v>
      </c>
      <c r="S1490" s="9">
        <v>4500</v>
      </c>
      <c r="T1490" s="10">
        <f t="shared" si="362"/>
        <v>2250</v>
      </c>
      <c r="U1490" s="9">
        <v>0</v>
      </c>
      <c r="V1490" s="10">
        <f t="shared" si="363"/>
        <v>2250</v>
      </c>
      <c r="W1490" s="4" t="s">
        <v>122</v>
      </c>
      <c r="X1490" s="2"/>
      <c r="Y1490" s="11">
        <v>6</v>
      </c>
      <c r="Z1490" s="12">
        <f t="shared" si="361"/>
        <v>-4</v>
      </c>
      <c r="AA1490" s="4" t="s">
        <v>120</v>
      </c>
      <c r="AC1490" s="176">
        <f t="shared" si="353"/>
        <v>0</v>
      </c>
    </row>
    <row r="1491" spans="2:29">
      <c r="B1491" s="183">
        <f t="shared" si="364"/>
        <v>43</v>
      </c>
      <c r="C1491" s="107" t="str">
        <f t="shared" si="365"/>
        <v>ATK</v>
      </c>
      <c r="D1491" s="2" t="s">
        <v>4818</v>
      </c>
      <c r="E1491" s="3">
        <v>44077</v>
      </c>
      <c r="F1491" s="3">
        <v>44125</v>
      </c>
      <c r="G1491" s="108">
        <f t="shared" si="366"/>
        <v>10</v>
      </c>
      <c r="H1491" s="108" t="str">
        <f t="shared" si="367"/>
        <v>완료</v>
      </c>
      <c r="I1491" s="112" t="s">
        <v>218</v>
      </c>
      <c r="J1491" s="4" t="s">
        <v>115</v>
      </c>
      <c r="K1491" s="5" t="s">
        <v>138</v>
      </c>
      <c r="L1491" s="6" t="str">
        <f t="shared" si="360"/>
        <v>EE1</v>
      </c>
      <c r="M1491" s="13" t="s">
        <v>4504</v>
      </c>
      <c r="N1491" s="7" t="s">
        <v>4504</v>
      </c>
      <c r="O1491" s="13" t="s">
        <v>4504</v>
      </c>
      <c r="P1491" s="115" t="s">
        <v>4819</v>
      </c>
      <c r="Q1491" s="8"/>
      <c r="R1491" s="2">
        <v>1</v>
      </c>
      <c r="S1491" s="9">
        <v>70</v>
      </c>
      <c r="T1491" s="10">
        <f t="shared" si="362"/>
        <v>35</v>
      </c>
      <c r="U1491" s="9">
        <v>1</v>
      </c>
      <c r="V1491" s="10">
        <f t="shared" si="363"/>
        <v>34</v>
      </c>
      <c r="W1491" s="4" t="s">
        <v>122</v>
      </c>
      <c r="X1491" s="2"/>
      <c r="Y1491" s="11">
        <v>2</v>
      </c>
      <c r="Z1491" s="12">
        <f t="shared" si="361"/>
        <v>48</v>
      </c>
      <c r="AA1491" s="4" t="s">
        <v>120</v>
      </c>
      <c r="AC1491" s="176">
        <f t="shared" si="353"/>
        <v>9.0909090909090909E-4</v>
      </c>
    </row>
    <row r="1492" spans="2:29">
      <c r="B1492" s="183">
        <f t="shared" si="364"/>
        <v>43</v>
      </c>
      <c r="C1492" s="107" t="str">
        <f t="shared" si="365"/>
        <v>ATK</v>
      </c>
      <c r="D1492" s="2" t="s">
        <v>4821</v>
      </c>
      <c r="E1492" s="3">
        <v>44124</v>
      </c>
      <c r="F1492" s="3">
        <v>44124</v>
      </c>
      <c r="G1492" s="108">
        <f t="shared" si="366"/>
        <v>10</v>
      </c>
      <c r="H1492" s="108" t="str">
        <f t="shared" si="367"/>
        <v>Other</v>
      </c>
      <c r="I1492" s="112" t="s">
        <v>251</v>
      </c>
      <c r="J1492" s="4" t="s">
        <v>243</v>
      </c>
      <c r="K1492" s="5" t="s">
        <v>243</v>
      </c>
      <c r="L1492" s="6" t="str">
        <f t="shared" si="360"/>
        <v>K5</v>
      </c>
      <c r="M1492" s="13" t="s">
        <v>4828</v>
      </c>
      <c r="N1492" s="7" t="s">
        <v>4829</v>
      </c>
      <c r="O1492" s="13"/>
      <c r="P1492" s="115"/>
      <c r="Q1492" s="8"/>
      <c r="R1492" s="2">
        <v>1</v>
      </c>
      <c r="S1492" s="9">
        <v>0</v>
      </c>
      <c r="T1492" s="10">
        <f t="shared" si="362"/>
        <v>0</v>
      </c>
      <c r="U1492" s="9">
        <v>0</v>
      </c>
      <c r="V1492" s="10">
        <f t="shared" si="363"/>
        <v>0</v>
      </c>
      <c r="W1492" s="4" t="s">
        <v>122</v>
      </c>
      <c r="X1492" s="2"/>
      <c r="Y1492" s="11">
        <v>12</v>
      </c>
      <c r="Z1492" s="12">
        <f t="shared" si="361"/>
        <v>0</v>
      </c>
      <c r="AA1492" s="4" t="s">
        <v>117</v>
      </c>
      <c r="AC1492" s="176">
        <f t="shared" si="353"/>
        <v>0</v>
      </c>
    </row>
    <row r="1493" spans="2:29">
      <c r="B1493" s="183">
        <f t="shared" si="364"/>
        <v>43</v>
      </c>
      <c r="C1493" s="107" t="str">
        <f t="shared" si="365"/>
        <v>ATK</v>
      </c>
      <c r="D1493" s="2" t="s">
        <v>4821</v>
      </c>
      <c r="E1493" s="3">
        <v>44124</v>
      </c>
      <c r="F1493" s="3">
        <v>44124</v>
      </c>
      <c r="G1493" s="108">
        <f t="shared" si="366"/>
        <v>10</v>
      </c>
      <c r="H1493" s="108" t="str">
        <f t="shared" si="367"/>
        <v>Other</v>
      </c>
      <c r="I1493" s="112" t="s">
        <v>251</v>
      </c>
      <c r="J1493" s="4" t="s">
        <v>243</v>
      </c>
      <c r="K1493" s="5" t="s">
        <v>243</v>
      </c>
      <c r="L1493" s="6" t="str">
        <f t="shared" si="360"/>
        <v>K5</v>
      </c>
      <c r="M1493" s="13" t="s">
        <v>4828</v>
      </c>
      <c r="N1493" s="7" t="s">
        <v>4829</v>
      </c>
      <c r="O1493" s="13"/>
      <c r="P1493" s="115"/>
      <c r="Q1493" s="8"/>
      <c r="R1493" s="2">
        <v>1</v>
      </c>
      <c r="S1493" s="9">
        <v>0</v>
      </c>
      <c r="T1493" s="10">
        <f t="shared" si="362"/>
        <v>0</v>
      </c>
      <c r="U1493" s="9">
        <v>0</v>
      </c>
      <c r="V1493" s="10">
        <f t="shared" si="363"/>
        <v>0</v>
      </c>
      <c r="W1493" s="4" t="s">
        <v>122</v>
      </c>
      <c r="X1493" s="2"/>
      <c r="Y1493" s="11">
        <v>12</v>
      </c>
      <c r="Z1493" s="12">
        <f t="shared" si="361"/>
        <v>0</v>
      </c>
      <c r="AA1493" s="4" t="s">
        <v>130</v>
      </c>
      <c r="AC1493" s="176">
        <f t="shared" si="353"/>
        <v>0</v>
      </c>
    </row>
    <row r="1494" spans="2:29">
      <c r="B1494" s="183">
        <f t="shared" si="364"/>
        <v>43</v>
      </c>
      <c r="C1494" s="107" t="str">
        <f t="shared" si="365"/>
        <v>ATK</v>
      </c>
      <c r="D1494" s="2" t="s">
        <v>4821</v>
      </c>
      <c r="E1494" s="3">
        <v>44124</v>
      </c>
      <c r="F1494" s="3">
        <v>44127</v>
      </c>
      <c r="G1494" s="108">
        <f t="shared" si="366"/>
        <v>10</v>
      </c>
      <c r="H1494" s="108" t="str">
        <f t="shared" si="367"/>
        <v>완료</v>
      </c>
      <c r="I1494" s="112" t="s">
        <v>218</v>
      </c>
      <c r="J1494" s="4" t="s">
        <v>243</v>
      </c>
      <c r="K1494" s="5" t="s">
        <v>243</v>
      </c>
      <c r="L1494" s="6" t="str">
        <f t="shared" si="360"/>
        <v>K5</v>
      </c>
      <c r="M1494" s="13" t="s">
        <v>4822</v>
      </c>
      <c r="N1494" s="7"/>
      <c r="O1494" s="13" t="s">
        <v>4823</v>
      </c>
      <c r="P1494" s="115"/>
      <c r="Q1494" s="8"/>
      <c r="R1494" s="2">
        <v>1</v>
      </c>
      <c r="S1494" s="9">
        <v>20000</v>
      </c>
      <c r="T1494" s="10">
        <f t="shared" si="362"/>
        <v>10000</v>
      </c>
      <c r="U1494" s="9">
        <v>0</v>
      </c>
      <c r="V1494" s="10">
        <f t="shared" si="363"/>
        <v>10000</v>
      </c>
      <c r="W1494" s="4" t="s">
        <v>122</v>
      </c>
      <c r="X1494" s="2"/>
      <c r="Y1494" s="11">
        <v>24</v>
      </c>
      <c r="Z1494" s="12">
        <f t="shared" si="361"/>
        <v>3</v>
      </c>
      <c r="AA1494" s="4" t="s">
        <v>117</v>
      </c>
      <c r="AC1494" s="176">
        <f t="shared" si="353"/>
        <v>0</v>
      </c>
    </row>
    <row r="1495" spans="2:29">
      <c r="B1495" s="183">
        <f t="shared" si="364"/>
        <v>43</v>
      </c>
      <c r="C1495" s="107" t="str">
        <f t="shared" si="365"/>
        <v>ATK</v>
      </c>
      <c r="D1495" s="2" t="s">
        <v>4820</v>
      </c>
      <c r="E1495" s="3">
        <v>44126</v>
      </c>
      <c r="F1495" s="3">
        <v>44126</v>
      </c>
      <c r="G1495" s="108">
        <f t="shared" si="366"/>
        <v>10</v>
      </c>
      <c r="H1495" s="108" t="str">
        <f t="shared" si="367"/>
        <v>완료</v>
      </c>
      <c r="I1495" s="112" t="s">
        <v>218</v>
      </c>
      <c r="J1495" s="4" t="s">
        <v>132</v>
      </c>
      <c r="K1495" s="5" t="s">
        <v>322</v>
      </c>
      <c r="L1495" s="6" t="str">
        <f t="shared" si="360"/>
        <v>3T1</v>
      </c>
      <c r="M1495" s="13" t="s">
        <v>4824</v>
      </c>
      <c r="N1495" s="7" t="s">
        <v>4825</v>
      </c>
      <c r="O1495" s="13" t="s">
        <v>4826</v>
      </c>
      <c r="P1495" s="115"/>
      <c r="Q1495" s="8"/>
      <c r="R1495" s="2">
        <v>1</v>
      </c>
      <c r="S1495" s="9">
        <v>2700</v>
      </c>
      <c r="T1495" s="10">
        <f t="shared" si="362"/>
        <v>1350</v>
      </c>
      <c r="U1495" s="9">
        <v>14</v>
      </c>
      <c r="V1495" s="10">
        <f t="shared" si="363"/>
        <v>1336</v>
      </c>
      <c r="W1495" s="4" t="s">
        <v>122</v>
      </c>
      <c r="X1495" s="2"/>
      <c r="Y1495" s="11">
        <v>2</v>
      </c>
      <c r="Z1495" s="12">
        <f t="shared" si="361"/>
        <v>0</v>
      </c>
      <c r="AA1495" s="4" t="s">
        <v>117</v>
      </c>
      <c r="AC1495" s="176">
        <f t="shared" si="353"/>
        <v>1.2727272727272728E-2</v>
      </c>
    </row>
    <row r="1496" spans="2:29">
      <c r="B1496" s="183">
        <f t="shared" si="364"/>
        <v>43</v>
      </c>
      <c r="C1496" s="107" t="str">
        <f t="shared" si="365"/>
        <v>ATK</v>
      </c>
      <c r="D1496" s="2" t="s">
        <v>4820</v>
      </c>
      <c r="E1496" s="3">
        <v>44126</v>
      </c>
      <c r="F1496" s="3">
        <v>44126</v>
      </c>
      <c r="G1496" s="108">
        <f t="shared" si="366"/>
        <v>10</v>
      </c>
      <c r="H1496" s="108" t="str">
        <f t="shared" si="367"/>
        <v>완료</v>
      </c>
      <c r="I1496" s="112" t="s">
        <v>218</v>
      </c>
      <c r="J1496" s="4" t="s">
        <v>132</v>
      </c>
      <c r="K1496" s="5" t="s">
        <v>322</v>
      </c>
      <c r="L1496" s="6" t="str">
        <f t="shared" ref="L1496:L1498" si="369">LEFT(K1496,3)</f>
        <v>3T1</v>
      </c>
      <c r="M1496" s="13" t="s">
        <v>4824</v>
      </c>
      <c r="N1496" s="7" t="s">
        <v>4825</v>
      </c>
      <c r="O1496" s="13" t="s">
        <v>4827</v>
      </c>
      <c r="P1496" s="115"/>
      <c r="Q1496" s="8"/>
      <c r="R1496" s="2">
        <v>1</v>
      </c>
      <c r="S1496" s="9">
        <v>600</v>
      </c>
      <c r="T1496" s="10">
        <f t="shared" si="362"/>
        <v>300</v>
      </c>
      <c r="U1496" s="9">
        <v>0</v>
      </c>
      <c r="V1496" s="10">
        <f t="shared" si="363"/>
        <v>300</v>
      </c>
      <c r="W1496" s="4" t="s">
        <v>122</v>
      </c>
      <c r="X1496" s="2"/>
      <c r="Y1496" s="11">
        <v>1</v>
      </c>
      <c r="Z1496" s="12">
        <f t="shared" si="361"/>
        <v>0</v>
      </c>
      <c r="AA1496" s="4" t="s">
        <v>117</v>
      </c>
      <c r="AC1496" s="176">
        <f t="shared" si="353"/>
        <v>0</v>
      </c>
    </row>
    <row r="1497" spans="2:29">
      <c r="B1497" s="183">
        <f t="shared" si="364"/>
        <v>43</v>
      </c>
      <c r="C1497" s="107" t="str">
        <f t="shared" si="365"/>
        <v>ATK</v>
      </c>
      <c r="D1497" s="2" t="s">
        <v>4820</v>
      </c>
      <c r="E1497" s="3">
        <v>44126</v>
      </c>
      <c r="F1497" s="3">
        <v>44126</v>
      </c>
      <c r="G1497" s="108">
        <f t="shared" si="366"/>
        <v>10</v>
      </c>
      <c r="H1497" s="108" t="str">
        <f t="shared" si="367"/>
        <v>완료</v>
      </c>
      <c r="I1497" s="112" t="s">
        <v>218</v>
      </c>
      <c r="J1497" s="4" t="s">
        <v>132</v>
      </c>
      <c r="K1497" s="5" t="s">
        <v>322</v>
      </c>
      <c r="L1497" s="6" t="str">
        <f t="shared" si="369"/>
        <v>3T1</v>
      </c>
      <c r="M1497" s="13" t="s">
        <v>4824</v>
      </c>
      <c r="N1497" s="7" t="s">
        <v>4825</v>
      </c>
      <c r="O1497" s="13" t="s">
        <v>1570</v>
      </c>
      <c r="P1497" s="115"/>
      <c r="Q1497" s="8"/>
      <c r="R1497" s="2">
        <v>1</v>
      </c>
      <c r="S1497" s="9">
        <v>500</v>
      </c>
      <c r="T1497" s="10">
        <f t="shared" si="362"/>
        <v>250</v>
      </c>
      <c r="U1497" s="9">
        <v>1</v>
      </c>
      <c r="V1497" s="10">
        <f t="shared" si="363"/>
        <v>249</v>
      </c>
      <c r="W1497" s="4" t="s">
        <v>122</v>
      </c>
      <c r="X1497" s="2"/>
      <c r="Y1497" s="11">
        <v>1</v>
      </c>
      <c r="Z1497" s="12">
        <f t="shared" si="361"/>
        <v>0</v>
      </c>
      <c r="AA1497" s="4" t="s">
        <v>117</v>
      </c>
      <c r="AC1497" s="176">
        <f t="shared" si="353"/>
        <v>9.0909090909090909E-4</v>
      </c>
    </row>
    <row r="1498" spans="2:29">
      <c r="B1498" s="183">
        <f t="shared" si="364"/>
        <v>43</v>
      </c>
      <c r="C1498" s="107" t="str">
        <f t="shared" si="365"/>
        <v>ATK</v>
      </c>
      <c r="D1498" s="2" t="s">
        <v>4830</v>
      </c>
      <c r="E1498" s="3">
        <v>44126</v>
      </c>
      <c r="F1498" s="3">
        <v>44126</v>
      </c>
      <c r="G1498" s="108">
        <f t="shared" si="366"/>
        <v>10</v>
      </c>
      <c r="H1498" s="108" t="str">
        <f t="shared" si="367"/>
        <v>Other</v>
      </c>
      <c r="I1498" s="112" t="s">
        <v>251</v>
      </c>
      <c r="J1498" s="4" t="s">
        <v>303</v>
      </c>
      <c r="K1498" s="5" t="s">
        <v>303</v>
      </c>
      <c r="L1498" s="6" t="str">
        <f t="shared" si="369"/>
        <v>K5</v>
      </c>
      <c r="M1498" s="13" t="s">
        <v>4831</v>
      </c>
      <c r="N1498" s="7" t="s">
        <v>4768</v>
      </c>
      <c r="O1498" s="13" t="s">
        <v>226</v>
      </c>
      <c r="P1498" s="115" t="s">
        <v>4832</v>
      </c>
      <c r="Q1498" s="8"/>
      <c r="R1498" s="2">
        <v>1</v>
      </c>
      <c r="S1498" s="9">
        <v>0</v>
      </c>
      <c r="T1498" s="10">
        <f t="shared" ref="T1498:T1499" si="370">(S1498*50)/100*R1498</f>
        <v>0</v>
      </c>
      <c r="U1498" s="9">
        <v>0</v>
      </c>
      <c r="V1498" s="10">
        <f t="shared" ref="V1498:V1499" si="371">T1498-U1498</f>
        <v>0</v>
      </c>
      <c r="W1498" s="4" t="s">
        <v>249</v>
      </c>
      <c r="X1498" s="2"/>
      <c r="Y1498" s="11">
        <v>6</v>
      </c>
      <c r="Z1498" s="12">
        <f t="shared" si="361"/>
        <v>0</v>
      </c>
      <c r="AA1498" s="4" t="s">
        <v>174</v>
      </c>
      <c r="AC1498" s="176">
        <f t="shared" si="353"/>
        <v>0</v>
      </c>
    </row>
    <row r="1499" spans="2:29">
      <c r="B1499" s="183">
        <f t="shared" si="364"/>
        <v>43</v>
      </c>
      <c r="C1499" s="107" t="str">
        <f t="shared" si="365"/>
        <v>ATK</v>
      </c>
      <c r="D1499" s="2" t="s">
        <v>4830</v>
      </c>
      <c r="E1499" s="3">
        <v>44126</v>
      </c>
      <c r="F1499" s="3">
        <v>44126</v>
      </c>
      <c r="G1499" s="108">
        <f t="shared" si="366"/>
        <v>10</v>
      </c>
      <c r="H1499" s="108" t="str">
        <f t="shared" si="367"/>
        <v>Other</v>
      </c>
      <c r="I1499" s="112" t="s">
        <v>251</v>
      </c>
      <c r="J1499" s="4" t="s">
        <v>303</v>
      </c>
      <c r="K1499" s="5" t="s">
        <v>303</v>
      </c>
      <c r="L1499" s="6" t="s">
        <v>303</v>
      </c>
      <c r="M1499" s="13" t="s">
        <v>4831</v>
      </c>
      <c r="N1499" s="7" t="s">
        <v>4768</v>
      </c>
      <c r="O1499" s="13" t="s">
        <v>226</v>
      </c>
      <c r="P1499" s="115" t="s">
        <v>4832</v>
      </c>
      <c r="Q1499" s="8"/>
      <c r="R1499" s="2">
        <v>1</v>
      </c>
      <c r="S1499" s="9">
        <v>0</v>
      </c>
      <c r="T1499" s="10">
        <f t="shared" si="370"/>
        <v>0</v>
      </c>
      <c r="U1499" s="9">
        <v>0</v>
      </c>
      <c r="V1499" s="10">
        <f t="shared" si="371"/>
        <v>0</v>
      </c>
      <c r="W1499" s="4" t="s">
        <v>249</v>
      </c>
      <c r="X1499" s="2"/>
      <c r="Y1499" s="11">
        <v>6</v>
      </c>
      <c r="Z1499" s="12">
        <f t="shared" si="361"/>
        <v>0</v>
      </c>
      <c r="AA1499" s="4" t="s">
        <v>27</v>
      </c>
      <c r="AC1499" s="176">
        <f t="shared" si="353"/>
        <v>0</v>
      </c>
    </row>
    <row r="1500" spans="2:29">
      <c r="B1500" s="183">
        <f t="shared" si="364"/>
        <v>43</v>
      </c>
      <c r="C1500" s="107" t="str">
        <f t="shared" si="365"/>
        <v>ATK</v>
      </c>
      <c r="D1500" s="2" t="s">
        <v>1655</v>
      </c>
      <c r="E1500" s="3">
        <v>44126</v>
      </c>
      <c r="F1500" s="3">
        <v>44126</v>
      </c>
      <c r="G1500" s="108">
        <f t="shared" si="366"/>
        <v>10</v>
      </c>
      <c r="H1500" s="108" t="str">
        <f t="shared" si="367"/>
        <v>완료</v>
      </c>
      <c r="I1500" s="112" t="s">
        <v>218</v>
      </c>
      <c r="J1500" s="4" t="s">
        <v>127</v>
      </c>
      <c r="K1500" s="5" t="s">
        <v>243</v>
      </c>
      <c r="L1500" s="6" t="str">
        <f t="shared" si="360"/>
        <v>K5</v>
      </c>
      <c r="M1500" s="13" t="s">
        <v>2377</v>
      </c>
      <c r="N1500" s="7"/>
      <c r="O1500" s="13" t="s">
        <v>4835</v>
      </c>
      <c r="P1500" s="115" t="s">
        <v>1486</v>
      </c>
      <c r="Q1500" s="8"/>
      <c r="R1500" s="2">
        <v>1</v>
      </c>
      <c r="S1500" s="9">
        <v>800</v>
      </c>
      <c r="T1500" s="10">
        <f t="shared" si="362"/>
        <v>400</v>
      </c>
      <c r="U1500" s="9">
        <v>0</v>
      </c>
      <c r="V1500" s="10">
        <f t="shared" si="363"/>
        <v>400</v>
      </c>
      <c r="W1500" s="4" t="s">
        <v>122</v>
      </c>
      <c r="X1500" s="2"/>
      <c r="Y1500" s="11">
        <v>4</v>
      </c>
      <c r="Z1500" s="12">
        <f t="shared" si="361"/>
        <v>0</v>
      </c>
      <c r="AA1500" s="4" t="s">
        <v>120</v>
      </c>
      <c r="AC1500" s="176">
        <f t="shared" si="353"/>
        <v>0</v>
      </c>
    </row>
    <row r="1501" spans="2:29">
      <c r="B1501" s="183">
        <f t="shared" si="364"/>
        <v>43</v>
      </c>
      <c r="C1501" s="107" t="str">
        <f t="shared" si="365"/>
        <v>ATK</v>
      </c>
      <c r="D1501" s="2" t="s">
        <v>4821</v>
      </c>
      <c r="E1501" s="3">
        <v>44125</v>
      </c>
      <c r="F1501" s="3">
        <v>44126</v>
      </c>
      <c r="G1501" s="108">
        <f t="shared" si="366"/>
        <v>10</v>
      </c>
      <c r="H1501" s="108" t="str">
        <f t="shared" si="367"/>
        <v>완료</v>
      </c>
      <c r="I1501" s="112" t="s">
        <v>218</v>
      </c>
      <c r="J1501" s="4" t="s">
        <v>243</v>
      </c>
      <c r="K1501" s="5" t="s">
        <v>243</v>
      </c>
      <c r="L1501" s="6" t="str">
        <f t="shared" ref="L1501:L1502" si="372">LEFT(K1501,3)</f>
        <v>K5</v>
      </c>
      <c r="M1501" s="13" t="s">
        <v>4828</v>
      </c>
      <c r="N1501" s="7" t="s">
        <v>4836</v>
      </c>
      <c r="O1501" s="7" t="s">
        <v>4836</v>
      </c>
      <c r="P1501" s="115" t="s">
        <v>4838</v>
      </c>
      <c r="Q1501" s="8"/>
      <c r="R1501" s="2">
        <v>1</v>
      </c>
      <c r="S1501" s="9">
        <v>44000</v>
      </c>
      <c r="T1501" s="10">
        <f t="shared" si="362"/>
        <v>22000</v>
      </c>
      <c r="U1501" s="9">
        <v>150</v>
      </c>
      <c r="V1501" s="10">
        <f t="shared" si="363"/>
        <v>21850</v>
      </c>
      <c r="W1501" s="4" t="s">
        <v>122</v>
      </c>
      <c r="X1501" s="2"/>
      <c r="Y1501" s="11">
        <v>12</v>
      </c>
      <c r="Z1501" s="12">
        <f t="shared" si="361"/>
        <v>1</v>
      </c>
      <c r="AA1501" s="4" t="s">
        <v>27</v>
      </c>
      <c r="AC1501" s="176">
        <f t="shared" si="353"/>
        <v>0.13636363636363635</v>
      </c>
    </row>
    <row r="1502" spans="2:29">
      <c r="B1502" s="183">
        <f t="shared" si="364"/>
        <v>43</v>
      </c>
      <c r="C1502" s="107" t="str">
        <f t="shared" si="365"/>
        <v>ATK</v>
      </c>
      <c r="D1502" s="2" t="s">
        <v>4821</v>
      </c>
      <c r="E1502" s="3">
        <v>44125</v>
      </c>
      <c r="F1502" s="3">
        <v>44127</v>
      </c>
      <c r="G1502" s="108">
        <f t="shared" si="366"/>
        <v>10</v>
      </c>
      <c r="H1502" s="108" t="str">
        <f t="shared" si="367"/>
        <v>완료</v>
      </c>
      <c r="I1502" s="112" t="s">
        <v>218</v>
      </c>
      <c r="J1502" s="4" t="s">
        <v>243</v>
      </c>
      <c r="K1502" s="5" t="s">
        <v>243</v>
      </c>
      <c r="L1502" s="6" t="str">
        <f t="shared" si="372"/>
        <v>K5</v>
      </c>
      <c r="M1502" s="13" t="s">
        <v>4828</v>
      </c>
      <c r="N1502" s="7" t="s">
        <v>913</v>
      </c>
      <c r="O1502" s="13" t="s">
        <v>4837</v>
      </c>
      <c r="P1502" s="115" t="s">
        <v>4839</v>
      </c>
      <c r="Q1502" s="8"/>
      <c r="R1502" s="2">
        <v>1</v>
      </c>
      <c r="S1502" s="9">
        <v>2150</v>
      </c>
      <c r="T1502" s="10">
        <f t="shared" si="362"/>
        <v>1075</v>
      </c>
      <c r="U1502" s="9">
        <v>100</v>
      </c>
      <c r="V1502" s="10">
        <f t="shared" si="363"/>
        <v>975</v>
      </c>
      <c r="W1502" s="4" t="s">
        <v>122</v>
      </c>
      <c r="X1502" s="2"/>
      <c r="Y1502" s="11">
        <v>8</v>
      </c>
      <c r="Z1502" s="12">
        <f t="shared" si="361"/>
        <v>2</v>
      </c>
      <c r="AA1502" s="4" t="s">
        <v>27</v>
      </c>
      <c r="AC1502" s="176">
        <f t="shared" si="353"/>
        <v>9.0909090909090912E-2</v>
      </c>
    </row>
    <row r="1503" spans="2:29">
      <c r="B1503" s="183">
        <f t="shared" si="364"/>
        <v>44</v>
      </c>
      <c r="C1503" s="107" t="str">
        <f t="shared" si="365"/>
        <v>ATK</v>
      </c>
      <c r="D1503" s="2" t="s">
        <v>4840</v>
      </c>
      <c r="E1503" s="3">
        <v>44127</v>
      </c>
      <c r="F1503" s="3">
        <v>44130</v>
      </c>
      <c r="G1503" s="108">
        <f t="shared" si="366"/>
        <v>10</v>
      </c>
      <c r="H1503" s="108" t="str">
        <f t="shared" si="367"/>
        <v>완료</v>
      </c>
      <c r="I1503" s="112" t="s">
        <v>218</v>
      </c>
      <c r="J1503" s="4" t="s">
        <v>115</v>
      </c>
      <c r="K1503" s="5" t="s">
        <v>138</v>
      </c>
      <c r="L1503" s="6" t="str">
        <f t="shared" si="360"/>
        <v>EE1</v>
      </c>
      <c r="M1503" s="13"/>
      <c r="N1503" s="7" t="s">
        <v>4841</v>
      </c>
      <c r="O1503" s="13" t="s">
        <v>284</v>
      </c>
      <c r="P1503" s="115" t="s">
        <v>4842</v>
      </c>
      <c r="Q1503" s="8"/>
      <c r="R1503" s="2">
        <v>1</v>
      </c>
      <c r="S1503" s="9">
        <v>1000</v>
      </c>
      <c r="T1503" s="10">
        <f t="shared" si="362"/>
        <v>500</v>
      </c>
      <c r="U1503" s="9">
        <v>50</v>
      </c>
      <c r="V1503" s="10">
        <f t="shared" si="363"/>
        <v>450</v>
      </c>
      <c r="W1503" s="4" t="s">
        <v>122</v>
      </c>
      <c r="X1503" s="2"/>
      <c r="Y1503" s="11">
        <v>5</v>
      </c>
      <c r="Z1503" s="12">
        <f t="shared" si="361"/>
        <v>3</v>
      </c>
      <c r="AA1503" s="4" t="s">
        <v>212</v>
      </c>
      <c r="AC1503" s="176">
        <f t="shared" si="353"/>
        <v>4.5454545454545456E-2</v>
      </c>
    </row>
    <row r="1504" spans="2:29">
      <c r="B1504" s="183">
        <f t="shared" si="364"/>
        <v>44</v>
      </c>
      <c r="C1504" s="107" t="str">
        <f t="shared" si="365"/>
        <v>ATK</v>
      </c>
      <c r="D1504" s="2" t="s">
        <v>4843</v>
      </c>
      <c r="E1504" s="3">
        <v>44130</v>
      </c>
      <c r="F1504" s="3">
        <v>44130</v>
      </c>
      <c r="G1504" s="108">
        <f t="shared" si="366"/>
        <v>10</v>
      </c>
      <c r="H1504" s="108" t="str">
        <f t="shared" si="367"/>
        <v>완료</v>
      </c>
      <c r="I1504" s="112" t="s">
        <v>218</v>
      </c>
      <c r="J1504" s="4" t="s">
        <v>132</v>
      </c>
      <c r="K1504" s="5" t="s">
        <v>1193</v>
      </c>
      <c r="L1504" s="6" t="str">
        <f t="shared" si="360"/>
        <v>3T2</v>
      </c>
      <c r="M1504" s="13" t="s">
        <v>4844</v>
      </c>
      <c r="N1504" s="7" t="s">
        <v>4846</v>
      </c>
      <c r="O1504" s="7" t="s">
        <v>4845</v>
      </c>
      <c r="P1504" s="115" t="s">
        <v>4847</v>
      </c>
      <c r="Q1504" s="8"/>
      <c r="R1504" s="2">
        <v>1</v>
      </c>
      <c r="S1504" s="9">
        <v>500</v>
      </c>
      <c r="T1504" s="10">
        <f t="shared" si="362"/>
        <v>250</v>
      </c>
      <c r="U1504" s="9">
        <v>2</v>
      </c>
      <c r="V1504" s="10">
        <f t="shared" si="363"/>
        <v>248</v>
      </c>
      <c r="W1504" s="4" t="s">
        <v>122</v>
      </c>
      <c r="X1504" s="2"/>
      <c r="Y1504" s="11">
        <v>3</v>
      </c>
      <c r="Z1504" s="12">
        <f t="shared" si="361"/>
        <v>0</v>
      </c>
      <c r="AA1504" s="4" t="s">
        <v>212</v>
      </c>
      <c r="AC1504" s="176">
        <f t="shared" si="353"/>
        <v>1.8181818181818182E-3</v>
      </c>
    </row>
    <row r="1505" spans="2:29">
      <c r="B1505" s="183">
        <f t="shared" si="364"/>
        <v>44</v>
      </c>
      <c r="C1505" s="107" t="str">
        <f t="shared" si="365"/>
        <v>ATK</v>
      </c>
      <c r="D1505" s="2" t="s">
        <v>4849</v>
      </c>
      <c r="E1505" s="3">
        <v>44130</v>
      </c>
      <c r="F1505" s="3">
        <v>44130</v>
      </c>
      <c r="G1505" s="108">
        <f t="shared" si="366"/>
        <v>10</v>
      </c>
      <c r="H1505" s="108" t="str">
        <f t="shared" si="367"/>
        <v>완료</v>
      </c>
      <c r="I1505" s="112" t="s">
        <v>4850</v>
      </c>
      <c r="J1505" s="4" t="s">
        <v>4851</v>
      </c>
      <c r="K1505" s="5" t="s">
        <v>695</v>
      </c>
      <c r="L1505" s="6" t="str">
        <f t="shared" ref="L1505:L1567" si="373">LEFT(K1505,3)</f>
        <v>2T2</v>
      </c>
      <c r="M1505" s="13" t="s">
        <v>4852</v>
      </c>
      <c r="N1505" s="7" t="s">
        <v>3594</v>
      </c>
      <c r="O1505" s="13" t="s">
        <v>482</v>
      </c>
      <c r="P1505" s="115" t="s">
        <v>4854</v>
      </c>
      <c r="Q1505" s="8"/>
      <c r="R1505" s="2">
        <v>2</v>
      </c>
      <c r="S1505" s="9">
        <v>1500</v>
      </c>
      <c r="T1505" s="10">
        <f t="shared" ref="T1505:T1567" si="374">(S1505*50)/100*R1505</f>
        <v>1500</v>
      </c>
      <c r="U1505" s="9">
        <v>25</v>
      </c>
      <c r="V1505" s="10">
        <f t="shared" ref="V1505:V1567" si="375">T1505-U1505</f>
        <v>1475</v>
      </c>
      <c r="W1505" s="4" t="s">
        <v>4855</v>
      </c>
      <c r="X1505" s="2"/>
      <c r="Y1505" s="11">
        <v>4</v>
      </c>
      <c r="Z1505" s="12">
        <f t="shared" si="361"/>
        <v>0</v>
      </c>
      <c r="AA1505" s="4" t="s">
        <v>4856</v>
      </c>
      <c r="AC1505" s="176">
        <f t="shared" si="353"/>
        <v>2.2727272727272728E-2</v>
      </c>
    </row>
    <row r="1506" spans="2:29">
      <c r="B1506" s="183">
        <f t="shared" si="364"/>
        <v>44</v>
      </c>
      <c r="C1506" s="107" t="str">
        <f t="shared" si="365"/>
        <v>ATK</v>
      </c>
      <c r="D1506" s="2" t="s">
        <v>4857</v>
      </c>
      <c r="E1506" s="3">
        <v>44130</v>
      </c>
      <c r="F1506" s="3">
        <v>44130</v>
      </c>
      <c r="G1506" s="108">
        <f t="shared" si="366"/>
        <v>10</v>
      </c>
      <c r="H1506" s="108" t="str">
        <f t="shared" si="367"/>
        <v>완료</v>
      </c>
      <c r="I1506" s="112" t="s">
        <v>4858</v>
      </c>
      <c r="J1506" s="4" t="s">
        <v>4860</v>
      </c>
      <c r="K1506" s="5" t="s">
        <v>4859</v>
      </c>
      <c r="L1506" s="6" t="str">
        <f t="shared" si="373"/>
        <v>6T1</v>
      </c>
      <c r="M1506" s="13" t="s">
        <v>4861</v>
      </c>
      <c r="N1506" s="7" t="s">
        <v>4862</v>
      </c>
      <c r="O1506" s="13" t="s">
        <v>339</v>
      </c>
      <c r="P1506" s="115" t="s">
        <v>4863</v>
      </c>
      <c r="Q1506" s="8"/>
      <c r="R1506" s="2">
        <v>1</v>
      </c>
      <c r="S1506" s="9">
        <v>2000</v>
      </c>
      <c r="T1506" s="10">
        <f t="shared" si="374"/>
        <v>1000</v>
      </c>
      <c r="U1506" s="9">
        <v>15</v>
      </c>
      <c r="V1506" s="10">
        <f t="shared" si="375"/>
        <v>985</v>
      </c>
      <c r="W1506" s="4" t="s">
        <v>4864</v>
      </c>
      <c r="X1506" s="2"/>
      <c r="Y1506" s="11">
        <v>2</v>
      </c>
      <c r="Z1506" s="12">
        <f t="shared" si="361"/>
        <v>0</v>
      </c>
      <c r="AA1506" s="4" t="s">
        <v>4865</v>
      </c>
      <c r="AC1506" s="176">
        <f t="shared" si="353"/>
        <v>1.3636363636363636E-2</v>
      </c>
    </row>
    <row r="1507" spans="2:29">
      <c r="B1507" s="183">
        <f t="shared" si="364"/>
        <v>44</v>
      </c>
      <c r="C1507" s="107" t="str">
        <f t="shared" si="365"/>
        <v>ATK</v>
      </c>
      <c r="D1507" s="2" t="s">
        <v>593</v>
      </c>
      <c r="E1507" s="3">
        <v>44131</v>
      </c>
      <c r="F1507" s="3">
        <v>44131</v>
      </c>
      <c r="G1507" s="108">
        <f t="shared" si="366"/>
        <v>10</v>
      </c>
      <c r="H1507" s="108" t="str">
        <f t="shared" si="367"/>
        <v>완료</v>
      </c>
      <c r="I1507" s="112" t="s">
        <v>218</v>
      </c>
      <c r="J1507" s="4" t="s">
        <v>115</v>
      </c>
      <c r="K1507" s="5" t="s">
        <v>116</v>
      </c>
      <c r="L1507" s="6" t="str">
        <f t="shared" si="373"/>
        <v>EE2</v>
      </c>
      <c r="M1507" s="13" t="s">
        <v>913</v>
      </c>
      <c r="N1507" s="7" t="s">
        <v>4141</v>
      </c>
      <c r="O1507" s="13" t="s">
        <v>648</v>
      </c>
      <c r="P1507" s="115" t="s">
        <v>4926</v>
      </c>
      <c r="Q1507" s="8" t="s">
        <v>597</v>
      </c>
      <c r="R1507" s="2">
        <v>1</v>
      </c>
      <c r="S1507" s="9">
        <v>70</v>
      </c>
      <c r="T1507" s="10">
        <f t="shared" si="374"/>
        <v>35</v>
      </c>
      <c r="U1507" s="9">
        <v>0</v>
      </c>
      <c r="V1507" s="10">
        <f t="shared" si="375"/>
        <v>35</v>
      </c>
      <c r="W1507" s="4" t="s">
        <v>122</v>
      </c>
      <c r="X1507" s="2"/>
      <c r="Y1507" s="11">
        <v>3</v>
      </c>
      <c r="Z1507" s="12">
        <f t="shared" si="361"/>
        <v>0</v>
      </c>
      <c r="AA1507" s="4" t="s">
        <v>120</v>
      </c>
      <c r="AC1507" s="176">
        <f t="shared" si="353"/>
        <v>0</v>
      </c>
    </row>
    <row r="1508" spans="2:29">
      <c r="B1508" s="183">
        <f t="shared" si="364"/>
        <v>44</v>
      </c>
      <c r="C1508" s="107" t="str">
        <f t="shared" si="365"/>
        <v>ATK</v>
      </c>
      <c r="D1508" s="2" t="s">
        <v>1409</v>
      </c>
      <c r="E1508" s="3">
        <v>44131</v>
      </c>
      <c r="F1508" s="3">
        <v>44131</v>
      </c>
      <c r="G1508" s="108">
        <f t="shared" si="366"/>
        <v>10</v>
      </c>
      <c r="H1508" s="108" t="str">
        <f t="shared" si="367"/>
        <v>완료</v>
      </c>
      <c r="I1508" s="112" t="s">
        <v>218</v>
      </c>
      <c r="J1508" s="4" t="s">
        <v>115</v>
      </c>
      <c r="K1508" s="5" t="s">
        <v>136</v>
      </c>
      <c r="L1508" s="6" t="str">
        <f t="shared" si="373"/>
        <v>5T1</v>
      </c>
      <c r="M1508" s="13" t="s">
        <v>260</v>
      </c>
      <c r="N1508" s="7" t="s">
        <v>4866</v>
      </c>
      <c r="O1508" s="13" t="s">
        <v>4867</v>
      </c>
      <c r="P1508" s="115" t="s">
        <v>4868</v>
      </c>
      <c r="Q1508" s="8" t="s">
        <v>4869</v>
      </c>
      <c r="R1508" s="2">
        <v>1</v>
      </c>
      <c r="S1508" s="9">
        <v>2100</v>
      </c>
      <c r="T1508" s="10">
        <f t="shared" si="374"/>
        <v>1050</v>
      </c>
      <c r="U1508" s="9">
        <v>0</v>
      </c>
      <c r="V1508" s="10">
        <f t="shared" si="375"/>
        <v>1050</v>
      </c>
      <c r="W1508" s="4" t="s">
        <v>122</v>
      </c>
      <c r="X1508" s="2"/>
      <c r="Y1508" s="11">
        <v>3</v>
      </c>
      <c r="Z1508" s="12">
        <f t="shared" si="361"/>
        <v>0</v>
      </c>
      <c r="AA1508" s="4" t="s">
        <v>120</v>
      </c>
      <c r="AC1508" s="176">
        <f t="shared" si="353"/>
        <v>0</v>
      </c>
    </row>
    <row r="1509" spans="2:29">
      <c r="B1509" s="183">
        <f t="shared" si="364"/>
        <v>44</v>
      </c>
      <c r="C1509" s="107" t="str">
        <f t="shared" si="365"/>
        <v>ATK</v>
      </c>
      <c r="D1509" s="2" t="s">
        <v>4870</v>
      </c>
      <c r="E1509" s="3">
        <v>44131</v>
      </c>
      <c r="F1509" s="3">
        <v>44133</v>
      </c>
      <c r="G1509" s="108">
        <f t="shared" si="366"/>
        <v>10</v>
      </c>
      <c r="H1509" s="108" t="str">
        <f t="shared" si="367"/>
        <v>완료</v>
      </c>
      <c r="I1509" s="112" t="s">
        <v>218</v>
      </c>
      <c r="J1509" s="4" t="s">
        <v>115</v>
      </c>
      <c r="K1509" s="5" t="s">
        <v>116</v>
      </c>
      <c r="L1509" s="6" t="str">
        <f t="shared" si="373"/>
        <v>EE2</v>
      </c>
      <c r="M1509" s="13" t="s">
        <v>4871</v>
      </c>
      <c r="N1509" s="7" t="s">
        <v>4872</v>
      </c>
      <c r="O1509" s="13" t="s">
        <v>4873</v>
      </c>
      <c r="P1509" s="115" t="s">
        <v>4874</v>
      </c>
      <c r="Q1509" s="8" t="s">
        <v>4876</v>
      </c>
      <c r="R1509" s="2">
        <v>1</v>
      </c>
      <c r="S1509" s="9">
        <v>3500</v>
      </c>
      <c r="T1509" s="10">
        <f t="shared" si="374"/>
        <v>1750</v>
      </c>
      <c r="U1509" s="9">
        <v>100</v>
      </c>
      <c r="V1509" s="10">
        <f t="shared" si="375"/>
        <v>1650</v>
      </c>
      <c r="W1509" s="4" t="s">
        <v>122</v>
      </c>
      <c r="X1509" s="2"/>
      <c r="Y1509" s="11">
        <v>4</v>
      </c>
      <c r="Z1509" s="12">
        <f t="shared" si="361"/>
        <v>2</v>
      </c>
      <c r="AA1509" s="4" t="s">
        <v>212</v>
      </c>
      <c r="AC1509" s="176">
        <f t="shared" si="353"/>
        <v>9.0909090909090912E-2</v>
      </c>
    </row>
    <row r="1510" spans="2:29">
      <c r="B1510" s="183">
        <f t="shared" si="364"/>
        <v>44</v>
      </c>
      <c r="C1510" s="107" t="str">
        <f t="shared" si="365"/>
        <v>ATK</v>
      </c>
      <c r="D1510" s="2" t="s">
        <v>4870</v>
      </c>
      <c r="E1510" s="3">
        <v>44131</v>
      </c>
      <c r="F1510" s="3">
        <v>44133</v>
      </c>
      <c r="G1510" s="108">
        <f t="shared" si="366"/>
        <v>10</v>
      </c>
      <c r="H1510" s="108" t="str">
        <f t="shared" si="367"/>
        <v>완료</v>
      </c>
      <c r="I1510" s="112" t="s">
        <v>218</v>
      </c>
      <c r="J1510" s="4" t="s">
        <v>115</v>
      </c>
      <c r="K1510" s="5" t="s">
        <v>116</v>
      </c>
      <c r="L1510" s="6" t="str">
        <f t="shared" si="373"/>
        <v>EE2</v>
      </c>
      <c r="M1510" s="13" t="s">
        <v>4871</v>
      </c>
      <c r="N1510" s="7" t="s">
        <v>4872</v>
      </c>
      <c r="O1510" s="13" t="s">
        <v>4873</v>
      </c>
      <c r="P1510" s="115" t="s">
        <v>4875</v>
      </c>
      <c r="Q1510" s="8" t="s">
        <v>4877</v>
      </c>
      <c r="R1510" s="2">
        <v>2</v>
      </c>
      <c r="S1510" s="9">
        <v>3500</v>
      </c>
      <c r="T1510" s="10">
        <f t="shared" si="374"/>
        <v>3500</v>
      </c>
      <c r="U1510" s="9">
        <v>20</v>
      </c>
      <c r="V1510" s="10">
        <f t="shared" si="375"/>
        <v>3480</v>
      </c>
      <c r="W1510" s="4" t="s">
        <v>122</v>
      </c>
      <c r="X1510" s="2"/>
      <c r="Y1510" s="11">
        <v>4</v>
      </c>
      <c r="Z1510" s="12">
        <f t="shared" si="361"/>
        <v>2</v>
      </c>
      <c r="AA1510" s="4" t="s">
        <v>212</v>
      </c>
      <c r="AC1510" s="176">
        <f t="shared" si="353"/>
        <v>1.8181818181818181E-2</v>
      </c>
    </row>
    <row r="1511" spans="2:29">
      <c r="B1511" s="183">
        <f t="shared" si="364"/>
        <v>44</v>
      </c>
      <c r="C1511" s="107" t="str">
        <f t="shared" si="365"/>
        <v>ATK</v>
      </c>
      <c r="D1511" s="2" t="s">
        <v>1306</v>
      </c>
      <c r="E1511" s="3">
        <v>44130</v>
      </c>
      <c r="F1511" s="3">
        <v>44131</v>
      </c>
      <c r="G1511" s="108">
        <f t="shared" si="366"/>
        <v>10</v>
      </c>
      <c r="H1511" s="108" t="str">
        <f t="shared" si="367"/>
        <v>완료</v>
      </c>
      <c r="I1511" s="112" t="s">
        <v>4878</v>
      </c>
      <c r="J1511" s="4" t="s">
        <v>4879</v>
      </c>
      <c r="K1511" s="5" t="s">
        <v>4880</v>
      </c>
      <c r="L1511" s="6" t="str">
        <f t="shared" si="373"/>
        <v>5T2</v>
      </c>
      <c r="M1511" s="13" t="s">
        <v>270</v>
      </c>
      <c r="N1511" s="7" t="s">
        <v>4881</v>
      </c>
      <c r="O1511" s="13" t="s">
        <v>270</v>
      </c>
      <c r="P1511" s="115" t="s">
        <v>4882</v>
      </c>
      <c r="Q1511" s="8"/>
      <c r="R1511" s="2">
        <v>1</v>
      </c>
      <c r="S1511" s="9">
        <v>910</v>
      </c>
      <c r="T1511" s="10">
        <f t="shared" si="374"/>
        <v>455</v>
      </c>
      <c r="U1511" s="9">
        <v>25</v>
      </c>
      <c r="V1511" s="10">
        <f t="shared" si="375"/>
        <v>430</v>
      </c>
      <c r="W1511" s="4" t="s">
        <v>4883</v>
      </c>
      <c r="X1511" s="2"/>
      <c r="Y1511" s="11">
        <v>2</v>
      </c>
      <c r="Z1511" s="12">
        <f t="shared" si="361"/>
        <v>1</v>
      </c>
      <c r="AA1511" s="4" t="s">
        <v>4884</v>
      </c>
      <c r="AC1511" s="176">
        <f t="shared" si="353"/>
        <v>2.2727272727272728E-2</v>
      </c>
    </row>
    <row r="1512" spans="2:29">
      <c r="B1512" s="183">
        <f t="shared" si="364"/>
        <v>44</v>
      </c>
      <c r="C1512" s="107" t="str">
        <f t="shared" si="365"/>
        <v>ATK</v>
      </c>
      <c r="D1512" s="2" t="s">
        <v>664</v>
      </c>
      <c r="E1512" s="3">
        <v>44130</v>
      </c>
      <c r="F1512" s="3">
        <v>44131</v>
      </c>
      <c r="G1512" s="108">
        <f t="shared" si="366"/>
        <v>10</v>
      </c>
      <c r="H1512" s="108" t="str">
        <f t="shared" si="367"/>
        <v>완료</v>
      </c>
      <c r="I1512" s="112" t="s">
        <v>218</v>
      </c>
      <c r="J1512" s="4" t="s">
        <v>481</v>
      </c>
      <c r="K1512" s="5" t="s">
        <v>695</v>
      </c>
      <c r="L1512" s="6" t="str">
        <f t="shared" si="373"/>
        <v>2T2</v>
      </c>
      <c r="M1512" s="13" t="s">
        <v>256</v>
      </c>
      <c r="N1512" s="7" t="s">
        <v>3506</v>
      </c>
      <c r="O1512" s="7" t="s">
        <v>362</v>
      </c>
      <c r="P1512" s="115"/>
      <c r="Q1512" s="8"/>
      <c r="R1512" s="2">
        <v>3</v>
      </c>
      <c r="S1512" s="9">
        <v>500</v>
      </c>
      <c r="T1512" s="10">
        <f t="shared" si="374"/>
        <v>750</v>
      </c>
      <c r="U1512" s="9">
        <v>600</v>
      </c>
      <c r="V1512" s="10">
        <f t="shared" si="375"/>
        <v>150</v>
      </c>
      <c r="W1512" s="4" t="s">
        <v>122</v>
      </c>
      <c r="X1512" s="2"/>
      <c r="Y1512" s="11">
        <v>1</v>
      </c>
      <c r="Z1512" s="12">
        <f t="shared" si="361"/>
        <v>1</v>
      </c>
      <c r="AA1512" s="4" t="s">
        <v>174</v>
      </c>
      <c r="AC1512" s="176">
        <f t="shared" si="353"/>
        <v>0.54545454545454541</v>
      </c>
    </row>
    <row r="1513" spans="2:29">
      <c r="B1513" s="183">
        <f t="shared" si="364"/>
        <v>44</v>
      </c>
      <c r="C1513" s="107" t="str">
        <f t="shared" si="365"/>
        <v>ATK</v>
      </c>
      <c r="D1513" s="2" t="s">
        <v>4885</v>
      </c>
      <c r="E1513" s="3">
        <v>44130</v>
      </c>
      <c r="F1513" s="3">
        <v>44131</v>
      </c>
      <c r="G1513" s="108">
        <f t="shared" si="366"/>
        <v>10</v>
      </c>
      <c r="H1513" s="108" t="str">
        <f t="shared" si="367"/>
        <v>완료</v>
      </c>
      <c r="I1513" s="112" t="s">
        <v>218</v>
      </c>
      <c r="J1513" s="4" t="s">
        <v>4888</v>
      </c>
      <c r="K1513" s="5" t="s">
        <v>4889</v>
      </c>
      <c r="L1513" s="6" t="str">
        <f t="shared" ref="L1513" si="376">LEFT(K1513,3)</f>
        <v>EE2</v>
      </c>
      <c r="M1513" s="13" t="s">
        <v>256</v>
      </c>
      <c r="N1513" s="7" t="s">
        <v>4886</v>
      </c>
      <c r="O1513" s="7" t="s">
        <v>362</v>
      </c>
      <c r="P1513" s="115"/>
      <c r="Q1513" s="8"/>
      <c r="R1513" s="2">
        <v>2</v>
      </c>
      <c r="S1513" s="9">
        <v>500</v>
      </c>
      <c r="T1513" s="10">
        <f t="shared" ref="T1513" si="377">(S1513*50)/100*R1513</f>
        <v>500</v>
      </c>
      <c r="U1513" s="9">
        <v>400</v>
      </c>
      <c r="V1513" s="10">
        <f t="shared" ref="V1513" si="378">T1513-U1513</f>
        <v>100</v>
      </c>
      <c r="W1513" s="4" t="s">
        <v>122</v>
      </c>
      <c r="X1513" s="2"/>
      <c r="Y1513" s="11">
        <v>1</v>
      </c>
      <c r="Z1513" s="12">
        <f t="shared" si="361"/>
        <v>1</v>
      </c>
      <c r="AA1513" s="4" t="s">
        <v>174</v>
      </c>
      <c r="AC1513" s="176">
        <f t="shared" si="353"/>
        <v>0.36363636363636365</v>
      </c>
    </row>
    <row r="1514" spans="2:29">
      <c r="B1514" s="183">
        <f t="shared" si="364"/>
        <v>44</v>
      </c>
      <c r="C1514" s="107" t="str">
        <f t="shared" si="365"/>
        <v>ATK</v>
      </c>
      <c r="D1514" s="2" t="s">
        <v>652</v>
      </c>
      <c r="E1514" s="3">
        <v>44130</v>
      </c>
      <c r="F1514" s="3">
        <v>44131</v>
      </c>
      <c r="G1514" s="108">
        <f t="shared" si="366"/>
        <v>10</v>
      </c>
      <c r="H1514" s="108" t="str">
        <f t="shared" si="367"/>
        <v>완료</v>
      </c>
      <c r="I1514" s="112" t="s">
        <v>4887</v>
      </c>
      <c r="J1514" s="4" t="s">
        <v>4890</v>
      </c>
      <c r="K1514" s="5" t="s">
        <v>4891</v>
      </c>
      <c r="L1514" s="6" t="str">
        <f t="shared" si="373"/>
        <v>EE2</v>
      </c>
      <c r="M1514" s="13" t="s">
        <v>4536</v>
      </c>
      <c r="N1514" s="7" t="s">
        <v>4892</v>
      </c>
      <c r="O1514" s="13" t="s">
        <v>4895</v>
      </c>
      <c r="P1514" s="115" t="s">
        <v>4893</v>
      </c>
      <c r="Q1514" s="8"/>
      <c r="R1514" s="2">
        <v>1</v>
      </c>
      <c r="S1514" s="9">
        <v>3500</v>
      </c>
      <c r="T1514" s="10">
        <f t="shared" si="374"/>
        <v>1750</v>
      </c>
      <c r="U1514" s="9">
        <v>5</v>
      </c>
      <c r="V1514" s="10">
        <f t="shared" si="375"/>
        <v>1745</v>
      </c>
      <c r="W1514" s="4" t="s">
        <v>4896</v>
      </c>
      <c r="X1514" s="2"/>
      <c r="Y1514" s="11">
        <v>2</v>
      </c>
      <c r="Z1514" s="12">
        <f t="shared" si="361"/>
        <v>1</v>
      </c>
      <c r="AA1514" s="4" t="s">
        <v>4897</v>
      </c>
      <c r="AC1514" s="176">
        <f t="shared" si="353"/>
        <v>4.5454545454545452E-3</v>
      </c>
    </row>
    <row r="1515" spans="2:29">
      <c r="B1515" s="183">
        <f t="shared" si="364"/>
        <v>44</v>
      </c>
      <c r="C1515" s="107" t="str">
        <f t="shared" si="365"/>
        <v>ATK</v>
      </c>
      <c r="D1515" s="2" t="s">
        <v>4821</v>
      </c>
      <c r="E1515" s="3">
        <v>44130</v>
      </c>
      <c r="F1515" s="3">
        <v>44131</v>
      </c>
      <c r="G1515" s="108">
        <f t="shared" si="366"/>
        <v>10</v>
      </c>
      <c r="H1515" s="108" t="str">
        <f t="shared" si="367"/>
        <v>Other</v>
      </c>
      <c r="I1515" s="112" t="s">
        <v>251</v>
      </c>
      <c r="J1515" s="4" t="s">
        <v>243</v>
      </c>
      <c r="K1515" s="5" t="s">
        <v>243</v>
      </c>
      <c r="L1515" s="6" t="str">
        <f t="shared" si="373"/>
        <v>K5</v>
      </c>
      <c r="M1515" s="13" t="s">
        <v>4828</v>
      </c>
      <c r="N1515" s="7" t="s">
        <v>4898</v>
      </c>
      <c r="O1515" s="7" t="s">
        <v>4898</v>
      </c>
      <c r="P1515" s="115" t="s">
        <v>4899</v>
      </c>
      <c r="Q1515" s="8"/>
      <c r="R1515" s="2">
        <v>1</v>
      </c>
      <c r="S1515" s="9">
        <v>0</v>
      </c>
      <c r="T1515" s="10">
        <f t="shared" si="374"/>
        <v>0</v>
      </c>
      <c r="U1515" s="9">
        <v>0</v>
      </c>
      <c r="V1515" s="10">
        <f t="shared" si="375"/>
        <v>0</v>
      </c>
      <c r="W1515" s="4" t="s">
        <v>249</v>
      </c>
      <c r="X1515" s="2"/>
      <c r="Y1515" s="11">
        <v>16</v>
      </c>
      <c r="Z1515" s="12">
        <f t="shared" si="361"/>
        <v>1</v>
      </c>
      <c r="AA1515" s="4" t="s">
        <v>30</v>
      </c>
      <c r="AC1515" s="176">
        <f t="shared" si="353"/>
        <v>0</v>
      </c>
    </row>
    <row r="1516" spans="2:29">
      <c r="B1516" s="183">
        <f t="shared" si="364"/>
        <v>44</v>
      </c>
      <c r="C1516" s="107" t="str">
        <f t="shared" si="365"/>
        <v>ATK</v>
      </c>
      <c r="D1516" s="2" t="s">
        <v>4821</v>
      </c>
      <c r="E1516" s="3">
        <v>44130</v>
      </c>
      <c r="F1516" s="3">
        <v>44131</v>
      </c>
      <c r="G1516" s="108">
        <f t="shared" si="366"/>
        <v>10</v>
      </c>
      <c r="H1516" s="108" t="str">
        <f t="shared" si="367"/>
        <v>Other</v>
      </c>
      <c r="I1516" s="112" t="s">
        <v>251</v>
      </c>
      <c r="J1516" s="4" t="s">
        <v>243</v>
      </c>
      <c r="K1516" s="5" t="s">
        <v>243</v>
      </c>
      <c r="L1516" s="6" t="str">
        <f t="shared" si="373"/>
        <v>K5</v>
      </c>
      <c r="M1516" s="13" t="s">
        <v>4828</v>
      </c>
      <c r="N1516" s="7" t="s">
        <v>4898</v>
      </c>
      <c r="O1516" s="7" t="s">
        <v>4898</v>
      </c>
      <c r="P1516" s="115" t="s">
        <v>4899</v>
      </c>
      <c r="Q1516" s="8"/>
      <c r="R1516" s="2">
        <v>1</v>
      </c>
      <c r="S1516" s="9">
        <v>0</v>
      </c>
      <c r="T1516" s="10">
        <f t="shared" si="374"/>
        <v>0</v>
      </c>
      <c r="U1516" s="9">
        <v>0</v>
      </c>
      <c r="V1516" s="10">
        <f t="shared" si="375"/>
        <v>0</v>
      </c>
      <c r="W1516" s="4" t="s">
        <v>249</v>
      </c>
      <c r="X1516" s="2"/>
      <c r="Y1516" s="11">
        <v>16</v>
      </c>
      <c r="Z1516" s="12">
        <f t="shared" si="361"/>
        <v>1</v>
      </c>
      <c r="AA1516" s="4" t="s">
        <v>27</v>
      </c>
      <c r="AC1516" s="176">
        <f t="shared" si="353"/>
        <v>0</v>
      </c>
    </row>
    <row r="1517" spans="2:29">
      <c r="B1517" s="183">
        <f t="shared" si="364"/>
        <v>44</v>
      </c>
      <c r="C1517" s="107" t="str">
        <f t="shared" si="365"/>
        <v>ATK</v>
      </c>
      <c r="D1517" s="2" t="s">
        <v>241</v>
      </c>
      <c r="E1517" s="3">
        <v>44130</v>
      </c>
      <c r="F1517" s="3">
        <v>44132</v>
      </c>
      <c r="G1517" s="108">
        <f t="shared" si="366"/>
        <v>10</v>
      </c>
      <c r="H1517" s="108" t="str">
        <f t="shared" si="367"/>
        <v>완료</v>
      </c>
      <c r="I1517" s="112" t="s">
        <v>218</v>
      </c>
      <c r="J1517" s="4" t="s">
        <v>121</v>
      </c>
      <c r="K1517" s="5" t="s">
        <v>136</v>
      </c>
      <c r="L1517" s="6" t="str">
        <f t="shared" si="373"/>
        <v>5T1</v>
      </c>
      <c r="M1517" s="13" t="s">
        <v>4440</v>
      </c>
      <c r="N1517" s="7" t="s">
        <v>4684</v>
      </c>
      <c r="O1517" s="13" t="s">
        <v>4192</v>
      </c>
      <c r="P1517" s="115" t="s">
        <v>1384</v>
      </c>
      <c r="Q1517" s="8" t="s">
        <v>4900</v>
      </c>
      <c r="R1517" s="2">
        <v>1</v>
      </c>
      <c r="S1517" s="9">
        <v>4000</v>
      </c>
      <c r="T1517" s="10">
        <f t="shared" si="374"/>
        <v>2000</v>
      </c>
      <c r="U1517" s="9">
        <v>0</v>
      </c>
      <c r="V1517" s="10">
        <f t="shared" si="375"/>
        <v>2000</v>
      </c>
      <c r="W1517" s="4" t="s">
        <v>122</v>
      </c>
      <c r="X1517" s="2"/>
      <c r="Y1517" s="11">
        <v>4</v>
      </c>
      <c r="Z1517" s="12">
        <f t="shared" si="361"/>
        <v>2</v>
      </c>
      <c r="AA1517" s="4" t="s">
        <v>120</v>
      </c>
      <c r="AC1517" s="176">
        <f t="shared" si="353"/>
        <v>0</v>
      </c>
    </row>
    <row r="1518" spans="2:29">
      <c r="B1518" s="183">
        <f t="shared" si="364"/>
        <v>44</v>
      </c>
      <c r="C1518" s="107" t="str">
        <f t="shared" si="365"/>
        <v>ATK</v>
      </c>
      <c r="D1518" s="2" t="s">
        <v>468</v>
      </c>
      <c r="E1518" s="3">
        <v>44132</v>
      </c>
      <c r="F1518" s="3">
        <v>44132</v>
      </c>
      <c r="G1518" s="108">
        <f t="shared" si="366"/>
        <v>10</v>
      </c>
      <c r="H1518" s="108" t="str">
        <f t="shared" si="367"/>
        <v>완료</v>
      </c>
      <c r="I1518" s="112" t="s">
        <v>218</v>
      </c>
      <c r="J1518" s="4" t="s">
        <v>243</v>
      </c>
      <c r="K1518" s="5" t="s">
        <v>243</v>
      </c>
      <c r="L1518" s="6" t="str">
        <f t="shared" si="373"/>
        <v>K5</v>
      </c>
      <c r="M1518" s="13" t="s">
        <v>705</v>
      </c>
      <c r="N1518" s="7" t="s">
        <v>4901</v>
      </c>
      <c r="O1518" s="13" t="s">
        <v>4902</v>
      </c>
      <c r="P1518" s="115"/>
      <c r="Q1518" s="8"/>
      <c r="R1518" s="2">
        <v>1</v>
      </c>
      <c r="S1518" s="9">
        <v>1600</v>
      </c>
      <c r="T1518" s="10">
        <f t="shared" si="374"/>
        <v>800</v>
      </c>
      <c r="U1518" s="9">
        <v>1</v>
      </c>
      <c r="V1518" s="10">
        <f t="shared" si="375"/>
        <v>799</v>
      </c>
      <c r="W1518" s="4" t="s">
        <v>122</v>
      </c>
      <c r="X1518" s="2"/>
      <c r="Y1518" s="11">
        <v>1</v>
      </c>
      <c r="Z1518" s="12">
        <f t="shared" si="361"/>
        <v>0</v>
      </c>
      <c r="AA1518" s="4" t="s">
        <v>117</v>
      </c>
      <c r="AC1518" s="176">
        <f t="shared" si="353"/>
        <v>9.0909090909090909E-4</v>
      </c>
    </row>
    <row r="1519" spans="2:29">
      <c r="B1519" s="183">
        <f t="shared" si="364"/>
        <v>45</v>
      </c>
      <c r="C1519" s="107" t="str">
        <f t="shared" si="365"/>
        <v>ATK</v>
      </c>
      <c r="D1519" s="2" t="s">
        <v>4903</v>
      </c>
      <c r="E1519" s="3">
        <v>44132</v>
      </c>
      <c r="F1519" s="3">
        <v>44138</v>
      </c>
      <c r="G1519" s="108">
        <f t="shared" si="366"/>
        <v>11</v>
      </c>
      <c r="H1519" s="108" t="str">
        <f t="shared" si="367"/>
        <v>완료</v>
      </c>
      <c r="I1519" s="112" t="s">
        <v>218</v>
      </c>
      <c r="J1519" s="4" t="s">
        <v>243</v>
      </c>
      <c r="K1519" s="5" t="s">
        <v>243</v>
      </c>
      <c r="L1519" s="6" t="str">
        <f t="shared" si="373"/>
        <v>K5</v>
      </c>
      <c r="M1519" s="13" t="s">
        <v>3970</v>
      </c>
      <c r="N1519" s="7" t="s">
        <v>4904</v>
      </c>
      <c r="O1519" s="13" t="s">
        <v>4905</v>
      </c>
      <c r="P1519" s="115"/>
      <c r="Q1519" s="8"/>
      <c r="R1519" s="2">
        <v>1</v>
      </c>
      <c r="S1519" s="9">
        <v>7000</v>
      </c>
      <c r="T1519" s="10">
        <f t="shared" si="374"/>
        <v>3500</v>
      </c>
      <c r="U1519" s="9">
        <v>14</v>
      </c>
      <c r="V1519" s="10">
        <f t="shared" si="375"/>
        <v>3486</v>
      </c>
      <c r="W1519" s="4" t="s">
        <v>122</v>
      </c>
      <c r="X1519" s="2"/>
      <c r="Y1519" s="11">
        <v>16</v>
      </c>
      <c r="Z1519" s="12">
        <f t="shared" si="361"/>
        <v>6</v>
      </c>
      <c r="AA1519" s="4" t="s">
        <v>117</v>
      </c>
      <c r="AC1519" s="176">
        <f t="shared" si="353"/>
        <v>1.2727272727272728E-2</v>
      </c>
    </row>
    <row r="1520" spans="2:29">
      <c r="B1520" s="183">
        <f t="shared" si="364"/>
        <v>44</v>
      </c>
      <c r="C1520" s="107" t="str">
        <f t="shared" si="365"/>
        <v>ATK</v>
      </c>
      <c r="D1520" s="2" t="s">
        <v>1306</v>
      </c>
      <c r="E1520" s="3">
        <v>44131</v>
      </c>
      <c r="F1520" s="3">
        <v>44132</v>
      </c>
      <c r="G1520" s="108">
        <f t="shared" si="366"/>
        <v>10</v>
      </c>
      <c r="H1520" s="108" t="str">
        <f t="shared" si="367"/>
        <v>완료</v>
      </c>
      <c r="I1520" s="112" t="s">
        <v>4906</v>
      </c>
      <c r="J1520" s="4" t="s">
        <v>4907</v>
      </c>
      <c r="K1520" s="5" t="s">
        <v>4908</v>
      </c>
      <c r="L1520" s="6" t="str">
        <f t="shared" si="373"/>
        <v>5T2</v>
      </c>
      <c r="M1520" s="13" t="s">
        <v>4909</v>
      </c>
      <c r="N1520" s="7" t="s">
        <v>4910</v>
      </c>
      <c r="O1520" s="13" t="s">
        <v>4909</v>
      </c>
      <c r="P1520" s="115"/>
      <c r="Q1520" s="8"/>
      <c r="R1520" s="2">
        <v>1</v>
      </c>
      <c r="S1520" s="9">
        <v>300</v>
      </c>
      <c r="T1520" s="10">
        <f t="shared" si="374"/>
        <v>150</v>
      </c>
      <c r="U1520" s="9">
        <v>5</v>
      </c>
      <c r="V1520" s="10">
        <f t="shared" si="375"/>
        <v>145</v>
      </c>
      <c r="W1520" s="4" t="s">
        <v>4911</v>
      </c>
      <c r="X1520" s="2"/>
      <c r="Y1520" s="11">
        <v>2</v>
      </c>
      <c r="Z1520" s="12">
        <f t="shared" si="361"/>
        <v>1</v>
      </c>
      <c r="AA1520" s="4" t="s">
        <v>4912</v>
      </c>
      <c r="AC1520" s="176">
        <f t="shared" si="353"/>
        <v>4.5454545454545452E-3</v>
      </c>
    </row>
    <row r="1521" spans="2:29">
      <c r="B1521" s="183">
        <f t="shared" si="364"/>
        <v>44</v>
      </c>
      <c r="C1521" s="107" t="str">
        <f t="shared" si="365"/>
        <v>ATK</v>
      </c>
      <c r="D1521" s="2" t="s">
        <v>174</v>
      </c>
      <c r="E1521" s="3">
        <v>44131</v>
      </c>
      <c r="F1521" s="3">
        <v>44132</v>
      </c>
      <c r="G1521" s="108">
        <f t="shared" si="366"/>
        <v>10</v>
      </c>
      <c r="H1521" s="108" t="str">
        <f t="shared" si="367"/>
        <v>완료</v>
      </c>
      <c r="I1521" s="112" t="s">
        <v>264</v>
      </c>
      <c r="J1521" s="4" t="s">
        <v>804</v>
      </c>
      <c r="K1521" s="5" t="s">
        <v>1091</v>
      </c>
      <c r="L1521" s="6" t="str">
        <f t="shared" ref="L1521" si="379">LEFT(K1521,3)</f>
        <v>5T2</v>
      </c>
      <c r="M1521" s="13" t="s">
        <v>207</v>
      </c>
      <c r="N1521" s="7" t="s">
        <v>4910</v>
      </c>
      <c r="O1521" s="13" t="s">
        <v>207</v>
      </c>
      <c r="P1521" s="115" t="s">
        <v>4913</v>
      </c>
      <c r="Q1521" s="8"/>
      <c r="R1521" s="2">
        <v>1</v>
      </c>
      <c r="S1521" s="9">
        <v>300</v>
      </c>
      <c r="T1521" s="10">
        <f t="shared" ref="T1521" si="380">(S1521*50)/100*R1521</f>
        <v>150</v>
      </c>
      <c r="U1521" s="9">
        <v>5</v>
      </c>
      <c r="V1521" s="10">
        <f t="shared" ref="V1521" si="381">T1521-U1521</f>
        <v>145</v>
      </c>
      <c r="W1521" s="4" t="s">
        <v>249</v>
      </c>
      <c r="X1521" s="2"/>
      <c r="Y1521" s="11">
        <v>2</v>
      </c>
      <c r="Z1521" s="12">
        <f t="shared" si="361"/>
        <v>1</v>
      </c>
      <c r="AA1521" s="4" t="s">
        <v>174</v>
      </c>
      <c r="AC1521" s="176">
        <f t="shared" si="353"/>
        <v>4.5454545454545452E-3</v>
      </c>
    </row>
    <row r="1522" spans="2:29">
      <c r="B1522" s="183">
        <f t="shared" si="364"/>
        <v>44</v>
      </c>
      <c r="C1522" s="107" t="str">
        <f t="shared" si="365"/>
        <v>ATK</v>
      </c>
      <c r="D1522" s="2" t="s">
        <v>455</v>
      </c>
      <c r="E1522" s="3">
        <v>44089</v>
      </c>
      <c r="F1522" s="3">
        <v>44133</v>
      </c>
      <c r="G1522" s="108">
        <f t="shared" si="366"/>
        <v>10</v>
      </c>
      <c r="H1522" s="108" t="str">
        <f t="shared" si="367"/>
        <v>완료</v>
      </c>
      <c r="I1522" s="112" t="s">
        <v>264</v>
      </c>
      <c r="J1522" s="4" t="s">
        <v>132</v>
      </c>
      <c r="K1522" s="5" t="s">
        <v>119</v>
      </c>
      <c r="L1522" s="6" t="s">
        <v>4914</v>
      </c>
      <c r="M1522" s="13" t="s">
        <v>126</v>
      </c>
      <c r="N1522" s="7" t="s">
        <v>4915</v>
      </c>
      <c r="O1522" s="13" t="s">
        <v>4916</v>
      </c>
      <c r="P1522" s="115"/>
      <c r="Q1522" s="8"/>
      <c r="R1522" s="2">
        <v>1</v>
      </c>
      <c r="S1522" s="9">
        <v>1000</v>
      </c>
      <c r="T1522" s="10">
        <v>500</v>
      </c>
      <c r="U1522" s="9">
        <v>20</v>
      </c>
      <c r="V1522" s="10">
        <v>450</v>
      </c>
      <c r="W1522" s="4" t="s">
        <v>122</v>
      </c>
      <c r="X1522" s="2"/>
      <c r="Y1522" s="11">
        <v>4</v>
      </c>
      <c r="Z1522" s="12">
        <f t="shared" si="361"/>
        <v>44</v>
      </c>
      <c r="AA1522" s="4" t="s">
        <v>130</v>
      </c>
      <c r="AC1522" s="176">
        <f t="shared" ref="AC1522:AC1584" si="382">U1522/1100</f>
        <v>1.8181818181818181E-2</v>
      </c>
    </row>
    <row r="1523" spans="2:29">
      <c r="B1523" s="183">
        <f t="shared" si="364"/>
        <v>44</v>
      </c>
      <c r="C1523" s="107" t="str">
        <f t="shared" si="365"/>
        <v>ATK</v>
      </c>
      <c r="D1523" s="2" t="s">
        <v>4917</v>
      </c>
      <c r="E1523" s="3">
        <v>44077</v>
      </c>
      <c r="F1523" s="3">
        <v>44133</v>
      </c>
      <c r="G1523" s="108">
        <f t="shared" si="366"/>
        <v>10</v>
      </c>
      <c r="H1523" s="108" t="str">
        <f t="shared" si="367"/>
        <v>Other</v>
      </c>
      <c r="I1523" s="112" t="s">
        <v>4918</v>
      </c>
      <c r="J1523" s="4" t="s">
        <v>4919</v>
      </c>
      <c r="K1523" s="5" t="s">
        <v>4920</v>
      </c>
      <c r="L1523" s="6" t="str">
        <f t="shared" si="373"/>
        <v>1T4</v>
      </c>
      <c r="M1523" s="13" t="s">
        <v>270</v>
      </c>
      <c r="N1523" s="7" t="s">
        <v>4921</v>
      </c>
      <c r="O1523" s="13" t="s">
        <v>270</v>
      </c>
      <c r="P1523" s="115" t="s">
        <v>4922</v>
      </c>
      <c r="Q1523" s="8" t="s">
        <v>4925</v>
      </c>
      <c r="R1523" s="2">
        <v>1</v>
      </c>
      <c r="S1523" s="9">
        <v>700</v>
      </c>
      <c r="T1523" s="10">
        <f t="shared" si="374"/>
        <v>350</v>
      </c>
      <c r="U1523" s="9">
        <v>0</v>
      </c>
      <c r="V1523" s="10">
        <f t="shared" si="375"/>
        <v>350</v>
      </c>
      <c r="W1523" s="4" t="s">
        <v>4923</v>
      </c>
      <c r="X1523" s="2"/>
      <c r="Y1523" s="11">
        <v>2</v>
      </c>
      <c r="Z1523" s="12">
        <f t="shared" si="361"/>
        <v>56</v>
      </c>
      <c r="AA1523" s="4" t="s">
        <v>4924</v>
      </c>
      <c r="AC1523" s="176">
        <f t="shared" si="382"/>
        <v>0</v>
      </c>
    </row>
    <row r="1524" spans="2:29">
      <c r="B1524" s="183">
        <f t="shared" si="364"/>
        <v>44</v>
      </c>
      <c r="C1524" s="107" t="str">
        <f t="shared" si="365"/>
        <v>ATK</v>
      </c>
      <c r="D1524" s="2" t="s">
        <v>593</v>
      </c>
      <c r="E1524" s="3">
        <v>44132</v>
      </c>
      <c r="F1524" s="3">
        <v>44132</v>
      </c>
      <c r="G1524" s="108">
        <f t="shared" si="366"/>
        <v>10</v>
      </c>
      <c r="H1524" s="108" t="str">
        <f t="shared" si="367"/>
        <v>완료</v>
      </c>
      <c r="I1524" s="112" t="s">
        <v>218</v>
      </c>
      <c r="J1524" s="4" t="s">
        <v>115</v>
      </c>
      <c r="K1524" s="5" t="s">
        <v>116</v>
      </c>
      <c r="L1524" s="6" t="str">
        <f t="shared" si="373"/>
        <v>EE2</v>
      </c>
      <c r="M1524" s="13" t="s">
        <v>913</v>
      </c>
      <c r="N1524" s="7" t="s">
        <v>4141</v>
      </c>
      <c r="O1524" s="13" t="s">
        <v>648</v>
      </c>
      <c r="P1524" s="115" t="s">
        <v>4927</v>
      </c>
      <c r="Q1524" s="8"/>
      <c r="R1524" s="2">
        <v>1</v>
      </c>
      <c r="S1524" s="9">
        <v>70</v>
      </c>
      <c r="T1524" s="10">
        <f t="shared" si="374"/>
        <v>35</v>
      </c>
      <c r="U1524" s="9">
        <v>0</v>
      </c>
      <c r="V1524" s="10">
        <f t="shared" si="375"/>
        <v>35</v>
      </c>
      <c r="W1524" s="4" t="s">
        <v>122</v>
      </c>
      <c r="X1524" s="2"/>
      <c r="Y1524" s="11">
        <v>3</v>
      </c>
      <c r="Z1524" s="12">
        <f t="shared" si="361"/>
        <v>0</v>
      </c>
      <c r="AA1524" s="4" t="s">
        <v>120</v>
      </c>
      <c r="AC1524" s="176">
        <f t="shared" si="382"/>
        <v>0</v>
      </c>
    </row>
    <row r="1525" spans="2:29">
      <c r="B1525" s="183">
        <f t="shared" si="364"/>
        <v>44</v>
      </c>
      <c r="C1525" s="107" t="str">
        <f t="shared" si="365"/>
        <v>ATK</v>
      </c>
      <c r="D1525" s="2" t="s">
        <v>4928</v>
      </c>
      <c r="E1525" s="3">
        <v>44126</v>
      </c>
      <c r="F1525" s="3">
        <v>44133</v>
      </c>
      <c r="G1525" s="108">
        <f t="shared" si="366"/>
        <v>10</v>
      </c>
      <c r="H1525" s="108" t="str">
        <f t="shared" si="367"/>
        <v>Other</v>
      </c>
      <c r="I1525" s="112" t="s">
        <v>4929</v>
      </c>
      <c r="J1525" s="4" t="s">
        <v>4930</v>
      </c>
      <c r="K1525" s="5" t="s">
        <v>206</v>
      </c>
      <c r="L1525" s="6" t="str">
        <f t="shared" si="373"/>
        <v>1T1</v>
      </c>
      <c r="M1525" s="13" t="s">
        <v>1200</v>
      </c>
      <c r="N1525" s="7" t="s">
        <v>4931</v>
      </c>
      <c r="O1525" s="13" t="s">
        <v>1200</v>
      </c>
      <c r="P1525" s="115" t="s">
        <v>4932</v>
      </c>
      <c r="Q1525" s="8"/>
      <c r="R1525" s="2">
        <v>1</v>
      </c>
      <c r="S1525" s="9">
        <v>351</v>
      </c>
      <c r="T1525" s="10">
        <f t="shared" si="374"/>
        <v>175.5</v>
      </c>
      <c r="U1525" s="9">
        <v>0</v>
      </c>
      <c r="V1525" s="10">
        <f t="shared" si="375"/>
        <v>175.5</v>
      </c>
      <c r="W1525" s="4" t="s">
        <v>4933</v>
      </c>
      <c r="X1525" s="2"/>
      <c r="Y1525" s="11">
        <v>2</v>
      </c>
      <c r="Z1525" s="12">
        <f t="shared" si="361"/>
        <v>7</v>
      </c>
      <c r="AA1525" s="4" t="s">
        <v>4934</v>
      </c>
      <c r="AC1525" s="176">
        <f t="shared" si="382"/>
        <v>0</v>
      </c>
    </row>
    <row r="1526" spans="2:29">
      <c r="B1526" s="183">
        <f t="shared" si="364"/>
        <v>44</v>
      </c>
      <c r="C1526" s="107" t="str">
        <f t="shared" si="365"/>
        <v>ATK</v>
      </c>
      <c r="D1526" s="2" t="s">
        <v>541</v>
      </c>
      <c r="E1526" s="3">
        <v>44133</v>
      </c>
      <c r="F1526" s="3">
        <v>44133</v>
      </c>
      <c r="G1526" s="108">
        <f t="shared" si="366"/>
        <v>10</v>
      </c>
      <c r="H1526" s="108" t="str">
        <f t="shared" si="367"/>
        <v>완료</v>
      </c>
      <c r="I1526" s="112" t="s">
        <v>218</v>
      </c>
      <c r="J1526" s="4" t="s">
        <v>132</v>
      </c>
      <c r="K1526" s="5" t="s">
        <v>322</v>
      </c>
      <c r="L1526" s="6" t="str">
        <f t="shared" si="373"/>
        <v>3T1</v>
      </c>
      <c r="M1526" s="13" t="s">
        <v>542</v>
      </c>
      <c r="N1526" s="7" t="s">
        <v>4530</v>
      </c>
      <c r="O1526" s="13" t="s">
        <v>543</v>
      </c>
      <c r="P1526" s="115" t="s">
        <v>544</v>
      </c>
      <c r="Q1526" s="8" t="s">
        <v>4935</v>
      </c>
      <c r="R1526" s="2">
        <v>1</v>
      </c>
      <c r="S1526" s="9">
        <v>70</v>
      </c>
      <c r="T1526" s="10">
        <f t="shared" si="374"/>
        <v>35</v>
      </c>
      <c r="U1526" s="9">
        <v>1</v>
      </c>
      <c r="V1526" s="10">
        <f t="shared" si="375"/>
        <v>34</v>
      </c>
      <c r="W1526" s="4" t="s">
        <v>122</v>
      </c>
      <c r="X1526" s="2"/>
      <c r="Y1526" s="11">
        <v>3</v>
      </c>
      <c r="Z1526" s="12">
        <f t="shared" si="361"/>
        <v>0</v>
      </c>
      <c r="AA1526" s="4" t="s">
        <v>120</v>
      </c>
      <c r="AC1526" s="176">
        <f t="shared" si="382"/>
        <v>9.0909090909090909E-4</v>
      </c>
    </row>
    <row r="1527" spans="2:29">
      <c r="B1527" s="183">
        <f t="shared" si="364"/>
        <v>44</v>
      </c>
      <c r="C1527" s="107" t="str">
        <f t="shared" si="365"/>
        <v>ATK</v>
      </c>
      <c r="D1527" s="2" t="s">
        <v>4936</v>
      </c>
      <c r="E1527" s="3">
        <v>44132</v>
      </c>
      <c r="F1527" s="3">
        <v>44134</v>
      </c>
      <c r="G1527" s="108">
        <f t="shared" si="366"/>
        <v>10</v>
      </c>
      <c r="H1527" s="108" t="str">
        <f t="shared" si="367"/>
        <v>완료</v>
      </c>
      <c r="I1527" s="112" t="s">
        <v>4937</v>
      </c>
      <c r="J1527" s="4" t="s">
        <v>4938</v>
      </c>
      <c r="K1527" s="5" t="s">
        <v>206</v>
      </c>
      <c r="L1527" s="6" t="str">
        <f t="shared" si="373"/>
        <v>1T1</v>
      </c>
      <c r="M1527" s="13" t="s">
        <v>270</v>
      </c>
      <c r="N1527" s="7" t="s">
        <v>4939</v>
      </c>
      <c r="O1527" s="13" t="s">
        <v>270</v>
      </c>
      <c r="P1527" s="115" t="s">
        <v>4940</v>
      </c>
      <c r="Q1527" s="8"/>
      <c r="R1527" s="2">
        <v>1</v>
      </c>
      <c r="S1527" s="9">
        <v>910</v>
      </c>
      <c r="T1527" s="10">
        <f t="shared" si="374"/>
        <v>455</v>
      </c>
      <c r="U1527" s="9">
        <v>25</v>
      </c>
      <c r="V1527" s="10">
        <f t="shared" si="375"/>
        <v>430</v>
      </c>
      <c r="W1527" s="4" t="s">
        <v>4941</v>
      </c>
      <c r="X1527" s="2"/>
      <c r="Y1527" s="11">
        <v>2</v>
      </c>
      <c r="Z1527" s="12">
        <f t="shared" si="361"/>
        <v>2</v>
      </c>
      <c r="AA1527" s="4" t="s">
        <v>4942</v>
      </c>
      <c r="AC1527" s="176">
        <f t="shared" si="382"/>
        <v>2.2727272727272728E-2</v>
      </c>
    </row>
    <row r="1528" spans="2:29">
      <c r="B1528" s="183">
        <f t="shared" si="364"/>
        <v>44</v>
      </c>
      <c r="C1528" s="107" t="str">
        <f t="shared" si="365"/>
        <v>ATK</v>
      </c>
      <c r="D1528" s="2" t="s">
        <v>4943</v>
      </c>
      <c r="E1528" s="3">
        <v>44134</v>
      </c>
      <c r="F1528" s="3">
        <v>44134</v>
      </c>
      <c r="G1528" s="108">
        <f t="shared" si="366"/>
        <v>10</v>
      </c>
      <c r="H1528" s="108" t="str">
        <f t="shared" si="367"/>
        <v>완료</v>
      </c>
      <c r="I1528" s="112" t="s">
        <v>4944</v>
      </c>
      <c r="J1528" s="4" t="s">
        <v>251</v>
      </c>
      <c r="K1528" s="5" t="s">
        <v>251</v>
      </c>
      <c r="L1528" s="6" t="str">
        <f t="shared" si="373"/>
        <v>Oth</v>
      </c>
      <c r="M1528" s="13" t="s">
        <v>4947</v>
      </c>
      <c r="N1528" s="7" t="s">
        <v>4946</v>
      </c>
      <c r="O1528" s="13" t="s">
        <v>4945</v>
      </c>
      <c r="P1528" s="115"/>
      <c r="Q1528" s="8"/>
      <c r="R1528" s="2">
        <v>2</v>
      </c>
      <c r="S1528" s="9">
        <v>800</v>
      </c>
      <c r="T1528" s="10">
        <f t="shared" si="374"/>
        <v>800</v>
      </c>
      <c r="U1528" s="9">
        <v>0</v>
      </c>
      <c r="V1528" s="10">
        <f t="shared" si="375"/>
        <v>800</v>
      </c>
      <c r="W1528" s="4" t="s">
        <v>4951</v>
      </c>
      <c r="X1528" s="2"/>
      <c r="Y1528" s="11">
        <v>4</v>
      </c>
      <c r="Z1528" s="12">
        <f t="shared" si="361"/>
        <v>0</v>
      </c>
      <c r="AA1528" s="4" t="s">
        <v>4952</v>
      </c>
      <c r="AC1528" s="176">
        <f t="shared" si="382"/>
        <v>0</v>
      </c>
    </row>
    <row r="1529" spans="2:29">
      <c r="B1529" s="183">
        <f t="shared" si="364"/>
        <v>44</v>
      </c>
      <c r="C1529" s="107" t="str">
        <f t="shared" si="365"/>
        <v>ATK</v>
      </c>
      <c r="D1529" s="2" t="s">
        <v>4949</v>
      </c>
      <c r="E1529" s="3">
        <v>44134</v>
      </c>
      <c r="F1529" s="3">
        <v>44134</v>
      </c>
      <c r="G1529" s="108">
        <f t="shared" si="366"/>
        <v>10</v>
      </c>
      <c r="H1529" s="108" t="str">
        <f t="shared" si="367"/>
        <v>완료</v>
      </c>
      <c r="I1529" s="112" t="s">
        <v>218</v>
      </c>
      <c r="J1529" s="4" t="s">
        <v>118</v>
      </c>
      <c r="K1529" s="5" t="s">
        <v>119</v>
      </c>
      <c r="L1529" s="6" t="str">
        <f t="shared" si="373"/>
        <v>2T3</v>
      </c>
      <c r="M1529" s="13" t="s">
        <v>4948</v>
      </c>
      <c r="N1529" s="7" t="s">
        <v>5052</v>
      </c>
      <c r="O1529" s="13" t="s">
        <v>284</v>
      </c>
      <c r="P1529" s="115" t="s">
        <v>4950</v>
      </c>
      <c r="Q1529" s="8"/>
      <c r="R1529" s="2">
        <v>1</v>
      </c>
      <c r="S1529" s="9">
        <v>1200</v>
      </c>
      <c r="T1529" s="10">
        <f t="shared" si="374"/>
        <v>600</v>
      </c>
      <c r="U1529" s="9">
        <v>12</v>
      </c>
      <c r="V1529" s="10">
        <f t="shared" si="375"/>
        <v>588</v>
      </c>
      <c r="W1529" s="4" t="s">
        <v>122</v>
      </c>
      <c r="X1529" s="2"/>
      <c r="Y1529" s="11">
        <v>5</v>
      </c>
      <c r="Z1529" s="12">
        <f t="shared" si="361"/>
        <v>0</v>
      </c>
      <c r="AA1529" s="4" t="s">
        <v>212</v>
      </c>
      <c r="AC1529" s="176">
        <f t="shared" si="382"/>
        <v>1.090909090909091E-2</v>
      </c>
    </row>
    <row r="1530" spans="2:29">
      <c r="B1530" s="183">
        <f t="shared" si="364"/>
        <v>44</v>
      </c>
      <c r="C1530" s="107" t="str">
        <f t="shared" si="365"/>
        <v>ATK</v>
      </c>
      <c r="D1530" s="2" t="s">
        <v>664</v>
      </c>
      <c r="E1530" s="3">
        <v>44134</v>
      </c>
      <c r="F1530" s="3">
        <v>44134</v>
      </c>
      <c r="G1530" s="108">
        <f t="shared" si="366"/>
        <v>10</v>
      </c>
      <c r="H1530" s="108" t="str">
        <f t="shared" si="367"/>
        <v>완료</v>
      </c>
      <c r="I1530" s="112" t="s">
        <v>218</v>
      </c>
      <c r="J1530" s="4" t="s">
        <v>4953</v>
      </c>
      <c r="K1530" s="5" t="s">
        <v>833</v>
      </c>
      <c r="L1530" s="6" t="str">
        <f t="shared" si="373"/>
        <v>1T3</v>
      </c>
      <c r="M1530" s="13" t="s">
        <v>256</v>
      </c>
      <c r="N1530" s="7" t="s">
        <v>3529</v>
      </c>
      <c r="O1530" s="13" t="s">
        <v>602</v>
      </c>
      <c r="P1530" s="115" t="s">
        <v>330</v>
      </c>
      <c r="Q1530" s="8"/>
      <c r="R1530" s="2">
        <v>1</v>
      </c>
      <c r="S1530" s="9">
        <v>4500</v>
      </c>
      <c r="T1530" s="10">
        <f t="shared" si="374"/>
        <v>2250</v>
      </c>
      <c r="U1530" s="9">
        <v>10</v>
      </c>
      <c r="V1530" s="10">
        <f t="shared" si="375"/>
        <v>2240</v>
      </c>
      <c r="W1530" s="4" t="s">
        <v>122</v>
      </c>
      <c r="X1530" s="2"/>
      <c r="Y1530" s="11">
        <v>4</v>
      </c>
      <c r="Z1530" s="12">
        <f t="shared" si="361"/>
        <v>0</v>
      </c>
      <c r="AA1530" s="4" t="s">
        <v>174</v>
      </c>
      <c r="AC1530" s="176">
        <f t="shared" si="382"/>
        <v>9.0909090909090905E-3</v>
      </c>
    </row>
    <row r="1531" spans="2:29">
      <c r="B1531" s="183">
        <f t="shared" si="364"/>
        <v>45</v>
      </c>
      <c r="C1531" s="107" t="str">
        <f t="shared" si="365"/>
        <v>ATK</v>
      </c>
      <c r="D1531" s="2" t="s">
        <v>1815</v>
      </c>
      <c r="E1531" s="3">
        <v>44137</v>
      </c>
      <c r="F1531" s="3">
        <v>44137</v>
      </c>
      <c r="G1531" s="108">
        <f t="shared" si="366"/>
        <v>11</v>
      </c>
      <c r="H1531" s="108" t="str">
        <f t="shared" si="367"/>
        <v>Other</v>
      </c>
      <c r="I1531" s="112" t="s">
        <v>251</v>
      </c>
      <c r="J1531" s="4" t="s">
        <v>281</v>
      </c>
      <c r="K1531" s="5" t="s">
        <v>282</v>
      </c>
      <c r="L1531" s="6" t="str">
        <f t="shared" si="373"/>
        <v>EE1</v>
      </c>
      <c r="M1531" s="13" t="s">
        <v>4954</v>
      </c>
      <c r="N1531" s="7" t="s">
        <v>226</v>
      </c>
      <c r="O1531" s="13" t="s">
        <v>4955</v>
      </c>
      <c r="P1531" s="115" t="s">
        <v>4956</v>
      </c>
      <c r="Q1531" s="8"/>
      <c r="R1531" s="2">
        <v>1</v>
      </c>
      <c r="S1531" s="9">
        <v>0</v>
      </c>
      <c r="T1531" s="10">
        <f t="shared" si="374"/>
        <v>0</v>
      </c>
      <c r="U1531" s="9">
        <v>0</v>
      </c>
      <c r="V1531" s="10">
        <f t="shared" si="375"/>
        <v>0</v>
      </c>
      <c r="W1531" s="4" t="s">
        <v>122</v>
      </c>
      <c r="X1531" s="2"/>
      <c r="Y1531" s="11">
        <v>4</v>
      </c>
      <c r="Z1531" s="12">
        <f t="shared" si="361"/>
        <v>0</v>
      </c>
      <c r="AA1531" s="4" t="s">
        <v>27</v>
      </c>
      <c r="AC1531" s="176">
        <f t="shared" si="382"/>
        <v>0</v>
      </c>
    </row>
    <row r="1532" spans="2:29">
      <c r="B1532" s="183">
        <f t="shared" si="364"/>
        <v>45</v>
      </c>
      <c r="C1532" s="107" t="str">
        <f t="shared" si="365"/>
        <v>ATK</v>
      </c>
      <c r="D1532" s="2" t="s">
        <v>1815</v>
      </c>
      <c r="E1532" s="3">
        <v>44137</v>
      </c>
      <c r="F1532" s="3">
        <v>44137</v>
      </c>
      <c r="G1532" s="108">
        <f t="shared" si="366"/>
        <v>11</v>
      </c>
      <c r="H1532" s="108" t="str">
        <f t="shared" si="367"/>
        <v>Other</v>
      </c>
      <c r="I1532" s="112" t="s">
        <v>251</v>
      </c>
      <c r="J1532" s="4" t="s">
        <v>281</v>
      </c>
      <c r="K1532" s="5" t="s">
        <v>282</v>
      </c>
      <c r="L1532" s="6" t="str">
        <f t="shared" ref="L1532" si="383">LEFT(K1532,3)</f>
        <v>EE1</v>
      </c>
      <c r="M1532" s="13" t="s">
        <v>4954</v>
      </c>
      <c r="N1532" s="7" t="s">
        <v>226</v>
      </c>
      <c r="O1532" s="13" t="s">
        <v>4955</v>
      </c>
      <c r="P1532" s="115" t="s">
        <v>4956</v>
      </c>
      <c r="Q1532" s="8"/>
      <c r="R1532" s="2">
        <v>1</v>
      </c>
      <c r="S1532" s="9">
        <v>0</v>
      </c>
      <c r="T1532" s="10">
        <f t="shared" ref="T1532" si="384">(S1532*50)/100*R1532</f>
        <v>0</v>
      </c>
      <c r="U1532" s="9">
        <v>0</v>
      </c>
      <c r="V1532" s="10">
        <f t="shared" ref="V1532" si="385">T1532-U1532</f>
        <v>0</v>
      </c>
      <c r="W1532" s="4" t="s">
        <v>122</v>
      </c>
      <c r="X1532" s="2"/>
      <c r="Y1532" s="11">
        <v>4</v>
      </c>
      <c r="Z1532" s="12">
        <f t="shared" si="361"/>
        <v>0</v>
      </c>
      <c r="AA1532" s="4" t="s">
        <v>174</v>
      </c>
      <c r="AC1532" s="176">
        <f t="shared" si="382"/>
        <v>0</v>
      </c>
    </row>
    <row r="1533" spans="2:29">
      <c r="B1533" s="183">
        <f t="shared" si="364"/>
        <v>45</v>
      </c>
      <c r="C1533" s="107" t="str">
        <f t="shared" si="365"/>
        <v>ATK</v>
      </c>
      <c r="D1533" s="2" t="s">
        <v>4962</v>
      </c>
      <c r="E1533" s="3">
        <v>44137</v>
      </c>
      <c r="F1533" s="3">
        <v>44139</v>
      </c>
      <c r="G1533" s="108">
        <f t="shared" si="366"/>
        <v>11</v>
      </c>
      <c r="H1533" s="108" t="str">
        <f t="shared" si="367"/>
        <v>완료</v>
      </c>
      <c r="I1533" s="112" t="s">
        <v>514</v>
      </c>
      <c r="J1533" s="4" t="s">
        <v>4963</v>
      </c>
      <c r="K1533" s="5" t="s">
        <v>4964</v>
      </c>
      <c r="L1533" s="6" t="str">
        <f t="shared" si="373"/>
        <v>EE2</v>
      </c>
      <c r="M1533" s="196" t="s">
        <v>2166</v>
      </c>
      <c r="N1533" s="115" t="s">
        <v>3815</v>
      </c>
      <c r="O1533" s="13" t="s">
        <v>2169</v>
      </c>
      <c r="P1533" s="115" t="s">
        <v>4973</v>
      </c>
      <c r="Q1533" s="8" t="s">
        <v>4974</v>
      </c>
      <c r="R1533" s="2">
        <v>1</v>
      </c>
      <c r="S1533" s="9">
        <v>12760</v>
      </c>
      <c r="T1533" s="10">
        <f t="shared" si="374"/>
        <v>6380</v>
      </c>
      <c r="U1533" s="9">
        <v>2500</v>
      </c>
      <c r="V1533" s="10">
        <f t="shared" si="375"/>
        <v>3880</v>
      </c>
      <c r="W1533" s="4" t="s">
        <v>123</v>
      </c>
      <c r="X1533" s="2" t="s">
        <v>29</v>
      </c>
      <c r="Y1533" s="11">
        <v>1</v>
      </c>
      <c r="Z1533" s="12">
        <f t="shared" si="361"/>
        <v>2</v>
      </c>
      <c r="AA1533" s="4" t="s">
        <v>30</v>
      </c>
      <c r="AB1533" s="201"/>
      <c r="AC1533" s="176">
        <f t="shared" si="382"/>
        <v>2.2727272727272729</v>
      </c>
    </row>
    <row r="1534" spans="2:29" ht="24">
      <c r="B1534" s="183">
        <f t="shared" si="364"/>
        <v>45</v>
      </c>
      <c r="C1534" s="107" t="str">
        <f t="shared" si="365"/>
        <v>ATK</v>
      </c>
      <c r="D1534" s="2" t="s">
        <v>4959</v>
      </c>
      <c r="E1534" s="3">
        <v>44137</v>
      </c>
      <c r="F1534" s="3">
        <v>44138</v>
      </c>
      <c r="G1534" s="108">
        <f t="shared" si="366"/>
        <v>11</v>
      </c>
      <c r="H1534" s="108" t="str">
        <f t="shared" si="367"/>
        <v>완료</v>
      </c>
      <c r="I1534" s="112" t="s">
        <v>218</v>
      </c>
      <c r="J1534" s="4" t="s">
        <v>121</v>
      </c>
      <c r="K1534" s="5" t="s">
        <v>136</v>
      </c>
      <c r="L1534" s="6" t="str">
        <f t="shared" si="373"/>
        <v>5T1</v>
      </c>
      <c r="M1534" s="13" t="s">
        <v>4957</v>
      </c>
      <c r="N1534" s="7" t="s">
        <v>4958</v>
      </c>
      <c r="O1534" s="13" t="s">
        <v>4960</v>
      </c>
      <c r="P1534" s="115" t="s">
        <v>4979</v>
      </c>
      <c r="Q1534" s="8"/>
      <c r="R1534" s="2">
        <v>1</v>
      </c>
      <c r="S1534" s="9">
        <v>1500</v>
      </c>
      <c r="T1534" s="10">
        <f t="shared" si="374"/>
        <v>750</v>
      </c>
      <c r="U1534" s="9"/>
      <c r="V1534" s="10">
        <f t="shared" si="375"/>
        <v>750</v>
      </c>
      <c r="W1534" s="4" t="s">
        <v>122</v>
      </c>
      <c r="X1534" s="2"/>
      <c r="Y1534" s="11">
        <v>6</v>
      </c>
      <c r="Z1534" s="12">
        <f t="shared" si="361"/>
        <v>1</v>
      </c>
      <c r="AA1534" s="4" t="s">
        <v>212</v>
      </c>
      <c r="AC1534" s="176">
        <f t="shared" si="382"/>
        <v>0</v>
      </c>
    </row>
    <row r="1535" spans="2:29">
      <c r="B1535" s="183">
        <f t="shared" si="364"/>
        <v>50</v>
      </c>
      <c r="C1535" s="107" t="str">
        <f t="shared" si="365"/>
        <v>ATK</v>
      </c>
      <c r="D1535" s="2" t="s">
        <v>463</v>
      </c>
      <c r="E1535" s="3">
        <v>44137</v>
      </c>
      <c r="F1535" s="3">
        <v>44176</v>
      </c>
      <c r="G1535" s="108">
        <f t="shared" si="366"/>
        <v>12</v>
      </c>
      <c r="H1535" s="108" t="str">
        <f t="shared" si="367"/>
        <v>완료</v>
      </c>
      <c r="I1535" s="112" t="s">
        <v>218</v>
      </c>
      <c r="J1535" s="4" t="s">
        <v>121</v>
      </c>
      <c r="K1535" s="5" t="s">
        <v>136</v>
      </c>
      <c r="L1535" s="6" t="str">
        <f t="shared" ref="L1535" si="386">LEFT(K1535,3)</f>
        <v>5T1</v>
      </c>
      <c r="M1535" s="13" t="s">
        <v>1507</v>
      </c>
      <c r="N1535" s="7" t="s">
        <v>1672</v>
      </c>
      <c r="O1535" s="13" t="s">
        <v>4960</v>
      </c>
      <c r="P1535" s="115" t="s">
        <v>5012</v>
      </c>
      <c r="Q1535" s="8"/>
      <c r="R1535" s="2">
        <v>1</v>
      </c>
      <c r="S1535" s="9">
        <v>1500</v>
      </c>
      <c r="T1535" s="10">
        <f t="shared" ref="T1535:T1536" si="387">(S1535*50)/100*R1535</f>
        <v>750</v>
      </c>
      <c r="U1535" s="9"/>
      <c r="V1535" s="10">
        <f t="shared" ref="V1535:V1536" si="388">T1535-U1535</f>
        <v>750</v>
      </c>
      <c r="W1535" s="4" t="s">
        <v>122</v>
      </c>
      <c r="X1535" s="2"/>
      <c r="Y1535" s="11"/>
      <c r="Z1535" s="12">
        <f t="shared" ref="Z1535:Z1536" si="389">F1535-E1535</f>
        <v>39</v>
      </c>
      <c r="AA1535" s="4" t="s">
        <v>4961</v>
      </c>
      <c r="AC1535" s="176">
        <f t="shared" si="382"/>
        <v>0</v>
      </c>
    </row>
    <row r="1536" spans="2:29">
      <c r="B1536" s="183">
        <f t="shared" si="364"/>
        <v>45</v>
      </c>
      <c r="C1536" s="107" t="str">
        <f t="shared" si="365"/>
        <v>ATK</v>
      </c>
      <c r="D1536" s="2" t="s">
        <v>280</v>
      </c>
      <c r="E1536" s="3">
        <v>44132</v>
      </c>
      <c r="F1536" s="3">
        <v>44138</v>
      </c>
      <c r="G1536" s="108">
        <f t="shared" si="366"/>
        <v>11</v>
      </c>
      <c r="H1536" s="108" t="str">
        <f t="shared" si="367"/>
        <v>완료</v>
      </c>
      <c r="I1536" s="112" t="s">
        <v>218</v>
      </c>
      <c r="J1536" s="4" t="s">
        <v>281</v>
      </c>
      <c r="K1536" s="5" t="s">
        <v>282</v>
      </c>
      <c r="L1536" s="6" t="str">
        <f t="shared" si="373"/>
        <v>EE1</v>
      </c>
      <c r="M1536" s="13" t="s">
        <v>242</v>
      </c>
      <c r="N1536" s="7" t="s">
        <v>4965</v>
      </c>
      <c r="O1536" s="13" t="s">
        <v>461</v>
      </c>
      <c r="P1536" s="115" t="s">
        <v>2410</v>
      </c>
      <c r="Q1536" s="8"/>
      <c r="R1536" s="2">
        <v>1</v>
      </c>
      <c r="S1536" s="9">
        <v>1200</v>
      </c>
      <c r="T1536" s="10">
        <f t="shared" si="387"/>
        <v>600</v>
      </c>
      <c r="U1536" s="9">
        <v>10</v>
      </c>
      <c r="V1536" s="10">
        <f t="shared" si="388"/>
        <v>590</v>
      </c>
      <c r="W1536" s="4" t="s">
        <v>122</v>
      </c>
      <c r="X1536" s="2"/>
      <c r="Y1536" s="11">
        <v>4</v>
      </c>
      <c r="Z1536" s="12">
        <f t="shared" si="389"/>
        <v>6</v>
      </c>
      <c r="AA1536" s="4" t="s">
        <v>27</v>
      </c>
      <c r="AC1536" s="176">
        <f t="shared" si="382"/>
        <v>9.0909090909090905E-3</v>
      </c>
    </row>
    <row r="1537" spans="2:29">
      <c r="B1537" s="183">
        <f t="shared" si="364"/>
        <v>45</v>
      </c>
      <c r="C1537" s="107" t="str">
        <f t="shared" si="365"/>
        <v>ATK</v>
      </c>
      <c r="D1537" s="2" t="s">
        <v>4966</v>
      </c>
      <c r="E1537" s="3">
        <v>44137</v>
      </c>
      <c r="F1537" s="3">
        <v>44138</v>
      </c>
      <c r="G1537" s="108">
        <f t="shared" si="366"/>
        <v>11</v>
      </c>
      <c r="H1537" s="108" t="str">
        <f t="shared" si="367"/>
        <v>완료</v>
      </c>
      <c r="I1537" s="112" t="s">
        <v>264</v>
      </c>
      <c r="J1537" s="4" t="s">
        <v>4967</v>
      </c>
      <c r="K1537" s="5" t="s">
        <v>833</v>
      </c>
      <c r="L1537" s="6" t="str">
        <f t="shared" si="373"/>
        <v>1T3</v>
      </c>
      <c r="M1537" s="13" t="s">
        <v>4536</v>
      </c>
      <c r="N1537" s="7" t="s">
        <v>4970</v>
      </c>
      <c r="O1537" s="13" t="s">
        <v>482</v>
      </c>
      <c r="P1537" s="115" t="s">
        <v>4971</v>
      </c>
      <c r="Q1537" s="8"/>
      <c r="R1537" s="2">
        <v>2</v>
      </c>
      <c r="S1537" s="9">
        <v>1500</v>
      </c>
      <c r="T1537" s="10">
        <f t="shared" si="374"/>
        <v>1500</v>
      </c>
      <c r="U1537" s="9">
        <v>5</v>
      </c>
      <c r="V1537" s="10">
        <f t="shared" si="375"/>
        <v>1495</v>
      </c>
      <c r="W1537" s="4" t="s">
        <v>4989</v>
      </c>
      <c r="X1537" s="2"/>
      <c r="Y1537" s="11">
        <v>2</v>
      </c>
      <c r="Z1537" s="12">
        <f t="shared" ref="Z1537:Z1578" si="390">F1537-E1537</f>
        <v>1</v>
      </c>
      <c r="AA1537" s="4" t="s">
        <v>4976</v>
      </c>
      <c r="AC1537" s="176">
        <f t="shared" si="382"/>
        <v>4.5454545454545452E-3</v>
      </c>
    </row>
    <row r="1538" spans="2:29">
      <c r="B1538" s="183">
        <f t="shared" ref="B1538:B1601" si="391">IF(F1538&gt;0,IFERROR(WEEKNUM(F1538),""),"")</f>
        <v>45</v>
      </c>
      <c r="C1538" s="107" t="str">
        <f t="shared" ref="C1538:C1601" si="392">IF(D1538=0,"",(IF(LEFT(D1538,3)="ATK","ATK",IF(LEFT(D1538,2)="AT",D1538,"ATK"))))</f>
        <v>ATK</v>
      </c>
      <c r="D1538" s="2" t="s">
        <v>2968</v>
      </c>
      <c r="E1538" s="3">
        <v>44123</v>
      </c>
      <c r="F1538" s="3">
        <v>44138</v>
      </c>
      <c r="G1538" s="108">
        <f t="shared" ref="G1538:G1601" si="393">IF(F1538&gt;0,MONTH(F1538),"")</f>
        <v>11</v>
      </c>
      <c r="H1538" s="108" t="str">
        <f t="shared" ref="H1538:H1601" si="394">IF(I1538=0,"",IF(RIGHT(I1538,2)="완료","완료",IF(RIGHT(I1538,2)="불가","수리불가",IF(RIGHT(I1538,1)="중","수리중","Other"))))</f>
        <v>완료</v>
      </c>
      <c r="I1538" s="112" t="s">
        <v>264</v>
      </c>
      <c r="J1538" s="4" t="s">
        <v>4968</v>
      </c>
      <c r="K1538" s="5" t="s">
        <v>4969</v>
      </c>
      <c r="L1538" s="6" t="str">
        <f t="shared" si="373"/>
        <v>EE2</v>
      </c>
      <c r="M1538" s="13" t="s">
        <v>4536</v>
      </c>
      <c r="N1538" s="7" t="s">
        <v>4970</v>
      </c>
      <c r="O1538" s="13" t="s">
        <v>482</v>
      </c>
      <c r="P1538" s="115" t="s">
        <v>4972</v>
      </c>
      <c r="Q1538" s="8"/>
      <c r="R1538" s="2">
        <v>2</v>
      </c>
      <c r="S1538" s="9">
        <v>1500</v>
      </c>
      <c r="T1538" s="10">
        <f t="shared" si="374"/>
        <v>1500</v>
      </c>
      <c r="U1538" s="9">
        <v>5</v>
      </c>
      <c r="V1538" s="10">
        <f t="shared" si="375"/>
        <v>1495</v>
      </c>
      <c r="W1538" s="4" t="s">
        <v>4989</v>
      </c>
      <c r="X1538" s="2"/>
      <c r="Y1538" s="11">
        <v>2</v>
      </c>
      <c r="Z1538" s="12">
        <f t="shared" si="390"/>
        <v>15</v>
      </c>
      <c r="AA1538" s="4" t="s">
        <v>4976</v>
      </c>
      <c r="AC1538" s="176">
        <f t="shared" si="382"/>
        <v>4.5454545454545452E-3</v>
      </c>
    </row>
    <row r="1539" spans="2:29">
      <c r="B1539" s="183">
        <f t="shared" si="391"/>
        <v>45</v>
      </c>
      <c r="C1539" s="107" t="str">
        <f t="shared" si="392"/>
        <v>ATK</v>
      </c>
      <c r="D1539" s="202" t="s">
        <v>4977</v>
      </c>
      <c r="E1539" s="3">
        <v>44137</v>
      </c>
      <c r="F1539" s="3">
        <v>44138</v>
      </c>
      <c r="G1539" s="108">
        <f t="shared" si="393"/>
        <v>11</v>
      </c>
      <c r="H1539" s="108" t="str">
        <f t="shared" si="394"/>
        <v>완료</v>
      </c>
      <c r="I1539" s="112" t="s">
        <v>218</v>
      </c>
      <c r="J1539" s="4" t="s">
        <v>132</v>
      </c>
      <c r="K1539" s="5" t="s">
        <v>133</v>
      </c>
      <c r="L1539" s="6" t="str">
        <f t="shared" si="373"/>
        <v>3T3</v>
      </c>
      <c r="M1539" s="13" t="s">
        <v>4978</v>
      </c>
      <c r="N1539" s="7" t="s">
        <v>4437</v>
      </c>
      <c r="O1539" s="13" t="s">
        <v>315</v>
      </c>
      <c r="P1539" s="115"/>
      <c r="Q1539" s="8"/>
      <c r="R1539" s="2">
        <v>1</v>
      </c>
      <c r="S1539" s="9">
        <v>5000</v>
      </c>
      <c r="T1539" s="10">
        <f t="shared" si="374"/>
        <v>2500</v>
      </c>
      <c r="U1539" s="9">
        <v>4</v>
      </c>
      <c r="V1539" s="10">
        <f t="shared" si="375"/>
        <v>2496</v>
      </c>
      <c r="W1539" s="4" t="s">
        <v>122</v>
      </c>
      <c r="X1539" s="2"/>
      <c r="Y1539" s="11">
        <v>1</v>
      </c>
      <c r="Z1539" s="12">
        <f t="shared" si="390"/>
        <v>1</v>
      </c>
      <c r="AA1539" s="4" t="s">
        <v>117</v>
      </c>
      <c r="AC1539" s="176">
        <f t="shared" si="382"/>
        <v>3.6363636363636364E-3</v>
      </c>
    </row>
    <row r="1540" spans="2:29">
      <c r="B1540" s="183">
        <f t="shared" si="391"/>
        <v>45</v>
      </c>
      <c r="C1540" s="107" t="str">
        <f t="shared" si="392"/>
        <v>ATK</v>
      </c>
      <c r="D1540" s="2" t="s">
        <v>4980</v>
      </c>
      <c r="E1540" s="3">
        <v>44138</v>
      </c>
      <c r="F1540" s="3">
        <v>44138</v>
      </c>
      <c r="G1540" s="108">
        <f t="shared" si="393"/>
        <v>11</v>
      </c>
      <c r="H1540" s="108" t="str">
        <f t="shared" si="394"/>
        <v>완료</v>
      </c>
      <c r="I1540" s="112" t="s">
        <v>218</v>
      </c>
      <c r="J1540" s="4" t="s">
        <v>121</v>
      </c>
      <c r="K1540" s="5" t="s">
        <v>851</v>
      </c>
      <c r="L1540" s="6" t="str">
        <f t="shared" si="373"/>
        <v>6T1</v>
      </c>
      <c r="M1540" s="13" t="s">
        <v>4981</v>
      </c>
      <c r="N1540" s="7" t="s">
        <v>4982</v>
      </c>
      <c r="O1540" s="13" t="s">
        <v>4983</v>
      </c>
      <c r="P1540" s="115" t="s">
        <v>4984</v>
      </c>
      <c r="Q1540" s="8"/>
      <c r="R1540" s="2">
        <v>2</v>
      </c>
      <c r="S1540" s="9">
        <v>100</v>
      </c>
      <c r="T1540" s="10">
        <f t="shared" si="374"/>
        <v>100</v>
      </c>
      <c r="U1540" s="9">
        <v>1</v>
      </c>
      <c r="V1540" s="10">
        <f t="shared" si="375"/>
        <v>99</v>
      </c>
      <c r="W1540" s="4" t="s">
        <v>122</v>
      </c>
      <c r="X1540" s="2"/>
      <c r="Y1540" s="11">
        <v>2</v>
      </c>
      <c r="Z1540" s="12">
        <f t="shared" si="390"/>
        <v>0</v>
      </c>
      <c r="AA1540" s="4" t="s">
        <v>212</v>
      </c>
      <c r="AC1540" s="176">
        <f t="shared" si="382"/>
        <v>9.0909090909090909E-4</v>
      </c>
    </row>
    <row r="1541" spans="2:29">
      <c r="B1541" s="183">
        <f t="shared" si="391"/>
        <v>45</v>
      </c>
      <c r="C1541" s="107" t="str">
        <f t="shared" si="392"/>
        <v>ATK</v>
      </c>
      <c r="D1541" s="2" t="s">
        <v>4985</v>
      </c>
      <c r="E1541" s="3">
        <v>44138</v>
      </c>
      <c r="F1541" s="3">
        <v>44140</v>
      </c>
      <c r="G1541" s="108">
        <f t="shared" si="393"/>
        <v>11</v>
      </c>
      <c r="H1541" s="108" t="str">
        <f t="shared" si="394"/>
        <v>완료</v>
      </c>
      <c r="I1541" s="112" t="s">
        <v>218</v>
      </c>
      <c r="J1541" s="4" t="s">
        <v>804</v>
      </c>
      <c r="K1541" s="5" t="s">
        <v>1091</v>
      </c>
      <c r="L1541" s="6" t="str">
        <f t="shared" si="373"/>
        <v>5T2</v>
      </c>
      <c r="M1541" s="13" t="s">
        <v>4986</v>
      </c>
      <c r="N1541" s="7" t="s">
        <v>4987</v>
      </c>
      <c r="O1541" s="13" t="s">
        <v>284</v>
      </c>
      <c r="P1541" s="115" t="s">
        <v>4988</v>
      </c>
      <c r="Q1541" s="8"/>
      <c r="R1541" s="2">
        <v>1</v>
      </c>
      <c r="S1541" s="9">
        <v>1000</v>
      </c>
      <c r="T1541" s="10">
        <f t="shared" si="374"/>
        <v>500</v>
      </c>
      <c r="U1541" s="9">
        <v>8</v>
      </c>
      <c r="V1541" s="10">
        <f t="shared" si="375"/>
        <v>492</v>
      </c>
      <c r="W1541" s="4" t="s">
        <v>122</v>
      </c>
      <c r="X1541" s="2"/>
      <c r="Y1541" s="11">
        <v>4</v>
      </c>
      <c r="Z1541" s="12">
        <f t="shared" si="390"/>
        <v>2</v>
      </c>
      <c r="AA1541" s="4" t="s">
        <v>212</v>
      </c>
      <c r="AC1541" s="176">
        <f t="shared" si="382"/>
        <v>7.2727272727272727E-3</v>
      </c>
    </row>
    <row r="1542" spans="2:29">
      <c r="B1542" s="183">
        <f t="shared" si="391"/>
        <v>49</v>
      </c>
      <c r="C1542" s="107" t="str">
        <f t="shared" si="392"/>
        <v>ATK</v>
      </c>
      <c r="D1542" s="2" t="s">
        <v>4990</v>
      </c>
      <c r="E1542" s="3">
        <v>44137</v>
      </c>
      <c r="F1542" s="3">
        <v>44166</v>
      </c>
      <c r="G1542" s="108">
        <f t="shared" si="393"/>
        <v>12</v>
      </c>
      <c r="H1542" s="108" t="str">
        <f t="shared" si="394"/>
        <v>완료</v>
      </c>
      <c r="I1542" s="112" t="s">
        <v>218</v>
      </c>
      <c r="J1542" s="4" t="s">
        <v>4991</v>
      </c>
      <c r="K1542" s="5" t="s">
        <v>833</v>
      </c>
      <c r="L1542" s="6" t="str">
        <f t="shared" si="373"/>
        <v>1T3</v>
      </c>
      <c r="M1542" s="13" t="s">
        <v>4536</v>
      </c>
      <c r="N1542" s="7" t="s">
        <v>4992</v>
      </c>
      <c r="O1542" s="13" t="s">
        <v>270</v>
      </c>
      <c r="P1542" s="115" t="s">
        <v>4993</v>
      </c>
      <c r="Q1542" s="8"/>
      <c r="R1542" s="2">
        <v>1</v>
      </c>
      <c r="S1542" s="9">
        <v>910</v>
      </c>
      <c r="T1542" s="10">
        <f t="shared" si="374"/>
        <v>455</v>
      </c>
      <c r="U1542" s="9">
        <v>25</v>
      </c>
      <c r="V1542" s="10">
        <f t="shared" si="375"/>
        <v>430</v>
      </c>
      <c r="W1542" s="4" t="s">
        <v>4989</v>
      </c>
      <c r="X1542" s="2"/>
      <c r="Y1542" s="11">
        <v>2</v>
      </c>
      <c r="Z1542" s="12">
        <f t="shared" si="390"/>
        <v>29</v>
      </c>
      <c r="AA1542" s="4" t="s">
        <v>4994</v>
      </c>
      <c r="AC1542" s="176">
        <f t="shared" si="382"/>
        <v>2.2727272727272728E-2</v>
      </c>
    </row>
    <row r="1543" spans="2:29">
      <c r="B1543" s="183">
        <f t="shared" si="391"/>
        <v>45</v>
      </c>
      <c r="C1543" s="107" t="str">
        <f t="shared" si="392"/>
        <v>ATK</v>
      </c>
      <c r="D1543" s="2" t="s">
        <v>4995</v>
      </c>
      <c r="E1543" s="3">
        <v>44137</v>
      </c>
      <c r="F1543" s="3">
        <v>44138</v>
      </c>
      <c r="G1543" s="108">
        <f t="shared" si="393"/>
        <v>11</v>
      </c>
      <c r="H1543" s="108" t="str">
        <f t="shared" si="394"/>
        <v>완료</v>
      </c>
      <c r="I1543" s="112" t="s">
        <v>218</v>
      </c>
      <c r="J1543" s="4" t="s">
        <v>243</v>
      </c>
      <c r="K1543" s="5" t="s">
        <v>243</v>
      </c>
      <c r="L1543" s="6" t="str">
        <f t="shared" si="373"/>
        <v>K5</v>
      </c>
      <c r="M1543" s="13" t="s">
        <v>4996</v>
      </c>
      <c r="N1543" s="7" t="s">
        <v>4997</v>
      </c>
      <c r="O1543" s="13" t="s">
        <v>4998</v>
      </c>
      <c r="P1543" s="115"/>
      <c r="Q1543" s="8"/>
      <c r="R1543" s="2">
        <v>1</v>
      </c>
      <c r="S1543" s="9">
        <v>4700</v>
      </c>
      <c r="T1543" s="10">
        <f t="shared" si="374"/>
        <v>2350</v>
      </c>
      <c r="U1543" s="9">
        <v>16</v>
      </c>
      <c r="V1543" s="10">
        <f t="shared" si="375"/>
        <v>2334</v>
      </c>
      <c r="W1543" s="4" t="s">
        <v>122</v>
      </c>
      <c r="X1543" s="2"/>
      <c r="Y1543" s="11">
        <v>3</v>
      </c>
      <c r="Z1543" s="12">
        <f t="shared" si="390"/>
        <v>1</v>
      </c>
      <c r="AA1543" s="4" t="s">
        <v>117</v>
      </c>
      <c r="AC1543" s="176">
        <f t="shared" si="382"/>
        <v>1.4545454545454545E-2</v>
      </c>
    </row>
    <row r="1544" spans="2:29">
      <c r="B1544" s="183">
        <f t="shared" si="391"/>
        <v>45</v>
      </c>
      <c r="C1544" s="107" t="str">
        <f t="shared" si="392"/>
        <v>ATK</v>
      </c>
      <c r="D1544" s="2" t="s">
        <v>541</v>
      </c>
      <c r="E1544" s="3">
        <v>44138</v>
      </c>
      <c r="F1544" s="3">
        <v>44138</v>
      </c>
      <c r="G1544" s="108">
        <f t="shared" si="393"/>
        <v>11</v>
      </c>
      <c r="H1544" s="108" t="str">
        <f t="shared" si="394"/>
        <v>Other</v>
      </c>
      <c r="I1544" s="112" t="s">
        <v>317</v>
      </c>
      <c r="J1544" s="4" t="s">
        <v>265</v>
      </c>
      <c r="K1544" s="5" t="s">
        <v>322</v>
      </c>
      <c r="L1544" s="6" t="str">
        <f t="shared" si="373"/>
        <v>3T1</v>
      </c>
      <c r="M1544" s="13" t="s">
        <v>542</v>
      </c>
      <c r="N1544" s="7" t="s">
        <v>4530</v>
      </c>
      <c r="O1544" s="13" t="s">
        <v>543</v>
      </c>
      <c r="P1544" s="115" t="s">
        <v>4999</v>
      </c>
      <c r="Q1544" s="8"/>
      <c r="R1544" s="2">
        <v>1</v>
      </c>
      <c r="S1544" s="9">
        <v>70</v>
      </c>
      <c r="T1544" s="10">
        <f t="shared" si="374"/>
        <v>35</v>
      </c>
      <c r="U1544" s="9">
        <v>0</v>
      </c>
      <c r="V1544" s="10">
        <f t="shared" si="375"/>
        <v>35</v>
      </c>
      <c r="W1544" s="4" t="s">
        <v>122</v>
      </c>
      <c r="X1544" s="2"/>
      <c r="Y1544" s="11">
        <v>4</v>
      </c>
      <c r="Z1544" s="12">
        <f t="shared" si="390"/>
        <v>0</v>
      </c>
      <c r="AA1544" s="4" t="s">
        <v>120</v>
      </c>
      <c r="AC1544" s="176">
        <f t="shared" si="382"/>
        <v>0</v>
      </c>
    </row>
    <row r="1545" spans="2:29">
      <c r="B1545" s="183">
        <f t="shared" si="391"/>
        <v>45</v>
      </c>
      <c r="C1545" s="107" t="str">
        <f t="shared" si="392"/>
        <v>ATK</v>
      </c>
      <c r="D1545" s="2" t="s">
        <v>5000</v>
      </c>
      <c r="E1545" s="3">
        <v>44137</v>
      </c>
      <c r="F1545" s="3">
        <v>44139</v>
      </c>
      <c r="G1545" s="108">
        <f t="shared" si="393"/>
        <v>11</v>
      </c>
      <c r="H1545" s="108" t="str">
        <f t="shared" si="394"/>
        <v>완료</v>
      </c>
      <c r="I1545" s="112" t="s">
        <v>218</v>
      </c>
      <c r="J1545" s="4" t="s">
        <v>132</v>
      </c>
      <c r="K1545" s="5" t="s">
        <v>143</v>
      </c>
      <c r="L1545" s="6" t="str">
        <f t="shared" si="373"/>
        <v>3T4</v>
      </c>
      <c r="M1545" s="13" t="s">
        <v>5001</v>
      </c>
      <c r="N1545" s="7"/>
      <c r="O1545" s="13" t="s">
        <v>367</v>
      </c>
      <c r="P1545" s="115"/>
      <c r="Q1545" s="8"/>
      <c r="R1545" s="2">
        <v>2</v>
      </c>
      <c r="S1545" s="9">
        <v>900</v>
      </c>
      <c r="T1545" s="10">
        <f t="shared" si="374"/>
        <v>900</v>
      </c>
      <c r="U1545" s="9">
        <v>30</v>
      </c>
      <c r="V1545" s="10">
        <f t="shared" si="375"/>
        <v>870</v>
      </c>
      <c r="W1545" s="4" t="s">
        <v>122</v>
      </c>
      <c r="X1545" s="2"/>
      <c r="Y1545" s="11">
        <v>1</v>
      </c>
      <c r="Z1545" s="12">
        <f t="shared" si="390"/>
        <v>2</v>
      </c>
      <c r="AA1545" s="4" t="s">
        <v>117</v>
      </c>
      <c r="AC1545" s="176">
        <f t="shared" si="382"/>
        <v>2.7272727272727271E-2</v>
      </c>
    </row>
    <row r="1546" spans="2:29">
      <c r="B1546" s="183">
        <f t="shared" si="391"/>
        <v>45</v>
      </c>
      <c r="C1546" s="107" t="str">
        <f t="shared" si="392"/>
        <v>ATK</v>
      </c>
      <c r="D1546" s="2" t="s">
        <v>250</v>
      </c>
      <c r="E1546" s="3">
        <v>44138</v>
      </c>
      <c r="F1546" s="3">
        <v>44138</v>
      </c>
      <c r="G1546" s="108">
        <f t="shared" si="393"/>
        <v>11</v>
      </c>
      <c r="H1546" s="108" t="str">
        <f t="shared" si="394"/>
        <v>Other</v>
      </c>
      <c r="I1546" s="112" t="s">
        <v>251</v>
      </c>
      <c r="J1546" s="4" t="s">
        <v>251</v>
      </c>
      <c r="K1546" s="4" t="s">
        <v>251</v>
      </c>
      <c r="L1546" s="6" t="str">
        <f t="shared" si="373"/>
        <v>Oth</v>
      </c>
      <c r="M1546" s="13" t="s">
        <v>5168</v>
      </c>
      <c r="N1546" s="7" t="s">
        <v>5002</v>
      </c>
      <c r="O1546" s="13" t="s">
        <v>5003</v>
      </c>
      <c r="P1546" s="115"/>
      <c r="Q1546" s="8"/>
      <c r="R1546" s="2">
        <v>1</v>
      </c>
      <c r="S1546" s="9">
        <v>0</v>
      </c>
      <c r="T1546" s="10">
        <f t="shared" si="374"/>
        <v>0</v>
      </c>
      <c r="U1546" s="9">
        <v>0</v>
      </c>
      <c r="V1546" s="10">
        <f t="shared" si="375"/>
        <v>0</v>
      </c>
      <c r="W1546" s="4" t="s">
        <v>122</v>
      </c>
      <c r="X1546" s="2"/>
      <c r="Y1546" s="11">
        <v>4</v>
      </c>
      <c r="Z1546" s="12">
        <f t="shared" si="390"/>
        <v>0</v>
      </c>
      <c r="AA1546" s="4" t="s">
        <v>117</v>
      </c>
      <c r="AC1546" s="176">
        <f t="shared" si="382"/>
        <v>0</v>
      </c>
    </row>
    <row r="1547" spans="2:29">
      <c r="B1547" s="183">
        <f t="shared" si="391"/>
        <v>45</v>
      </c>
      <c r="C1547" s="107" t="str">
        <f t="shared" si="392"/>
        <v>ATK</v>
      </c>
      <c r="D1547" s="2" t="s">
        <v>250</v>
      </c>
      <c r="E1547" s="3">
        <v>44138</v>
      </c>
      <c r="F1547" s="3">
        <v>44138</v>
      </c>
      <c r="G1547" s="108">
        <f t="shared" si="393"/>
        <v>11</v>
      </c>
      <c r="H1547" s="108" t="str">
        <f t="shared" si="394"/>
        <v>Other</v>
      </c>
      <c r="I1547" s="112" t="s">
        <v>251</v>
      </c>
      <c r="J1547" s="4" t="s">
        <v>251</v>
      </c>
      <c r="K1547" s="4" t="s">
        <v>251</v>
      </c>
      <c r="L1547" s="6" t="str">
        <f t="shared" si="373"/>
        <v>Oth</v>
      </c>
      <c r="M1547" s="13" t="s">
        <v>5168</v>
      </c>
      <c r="N1547" s="7" t="s">
        <v>5002</v>
      </c>
      <c r="O1547" s="13" t="s">
        <v>5003</v>
      </c>
      <c r="P1547" s="115"/>
      <c r="Q1547" s="8"/>
      <c r="R1547" s="2">
        <v>1</v>
      </c>
      <c r="S1547" s="9">
        <v>0</v>
      </c>
      <c r="T1547" s="10">
        <f t="shared" si="374"/>
        <v>0</v>
      </c>
      <c r="U1547" s="9">
        <v>0</v>
      </c>
      <c r="V1547" s="10">
        <f t="shared" si="375"/>
        <v>0</v>
      </c>
      <c r="W1547" s="4" t="s">
        <v>122</v>
      </c>
      <c r="X1547" s="2"/>
      <c r="Y1547" s="11">
        <v>4</v>
      </c>
      <c r="Z1547" s="12">
        <f t="shared" si="390"/>
        <v>0</v>
      </c>
      <c r="AA1547" s="4" t="s">
        <v>27</v>
      </c>
      <c r="AC1547" s="176">
        <f t="shared" si="382"/>
        <v>0</v>
      </c>
    </row>
    <row r="1548" spans="2:29">
      <c r="B1548" s="183">
        <f t="shared" si="391"/>
        <v>45</v>
      </c>
      <c r="C1548" s="107" t="str">
        <f t="shared" si="392"/>
        <v>ATK</v>
      </c>
      <c r="D1548" s="2" t="s">
        <v>174</v>
      </c>
      <c r="E1548" s="3">
        <v>44109</v>
      </c>
      <c r="F1548" s="3">
        <v>44139</v>
      </c>
      <c r="G1548" s="108">
        <f t="shared" si="393"/>
        <v>11</v>
      </c>
      <c r="H1548" s="108" t="str">
        <f t="shared" si="394"/>
        <v>완료</v>
      </c>
      <c r="I1548" s="112" t="s">
        <v>218</v>
      </c>
      <c r="J1548" s="4" t="s">
        <v>115</v>
      </c>
      <c r="K1548" s="5" t="s">
        <v>848</v>
      </c>
      <c r="L1548" s="6" t="str">
        <f t="shared" si="373"/>
        <v>3T5</v>
      </c>
      <c r="M1548" s="13" t="s">
        <v>5004</v>
      </c>
      <c r="N1548" s="7" t="s">
        <v>4207</v>
      </c>
      <c r="O1548" s="13" t="s">
        <v>543</v>
      </c>
      <c r="P1548" s="115" t="s">
        <v>5005</v>
      </c>
      <c r="Q1548" s="8"/>
      <c r="R1548" s="2">
        <v>1</v>
      </c>
      <c r="S1548" s="9">
        <v>500</v>
      </c>
      <c r="T1548" s="10">
        <f t="shared" si="374"/>
        <v>250</v>
      </c>
      <c r="U1548" s="9">
        <v>5</v>
      </c>
      <c r="V1548" s="10">
        <f t="shared" si="375"/>
        <v>245</v>
      </c>
      <c r="W1548" s="4" t="s">
        <v>122</v>
      </c>
      <c r="X1548" s="2"/>
      <c r="Y1548" s="11">
        <v>1</v>
      </c>
      <c r="Z1548" s="12">
        <f t="shared" si="390"/>
        <v>30</v>
      </c>
      <c r="AA1548" s="4" t="s">
        <v>44</v>
      </c>
      <c r="AC1548" s="176">
        <f t="shared" si="382"/>
        <v>4.5454545454545452E-3</v>
      </c>
    </row>
    <row r="1549" spans="2:29">
      <c r="B1549" s="183">
        <f t="shared" si="391"/>
        <v>45</v>
      </c>
      <c r="C1549" s="107" t="str">
        <f t="shared" si="392"/>
        <v>ATK</v>
      </c>
      <c r="D1549" s="2" t="s">
        <v>2968</v>
      </c>
      <c r="E1549" s="3">
        <v>44137</v>
      </c>
      <c r="F1549" s="3">
        <v>44139</v>
      </c>
      <c r="G1549" s="108">
        <f t="shared" si="393"/>
        <v>11</v>
      </c>
      <c r="H1549" s="108" t="str">
        <f t="shared" si="394"/>
        <v>완료</v>
      </c>
      <c r="I1549" s="112" t="s">
        <v>218</v>
      </c>
      <c r="J1549" s="4" t="s">
        <v>115</v>
      </c>
      <c r="K1549" s="5" t="s">
        <v>116</v>
      </c>
      <c r="L1549" s="6" t="str">
        <f t="shared" si="373"/>
        <v>EE2</v>
      </c>
      <c r="M1549" s="13" t="s">
        <v>4536</v>
      </c>
      <c r="N1549" s="7" t="s">
        <v>4892</v>
      </c>
      <c r="O1549" s="13" t="s">
        <v>4712</v>
      </c>
      <c r="P1549" s="115" t="s">
        <v>5006</v>
      </c>
      <c r="Q1549" s="8"/>
      <c r="R1549" s="2">
        <v>1</v>
      </c>
      <c r="S1549" s="9">
        <v>2500</v>
      </c>
      <c r="T1549" s="10">
        <f t="shared" si="374"/>
        <v>1250</v>
      </c>
      <c r="U1549" s="9">
        <v>12</v>
      </c>
      <c r="V1549" s="10">
        <f t="shared" si="375"/>
        <v>1238</v>
      </c>
      <c r="W1549" s="4" t="s">
        <v>122</v>
      </c>
      <c r="X1549" s="2"/>
      <c r="Y1549" s="11">
        <v>2</v>
      </c>
      <c r="Z1549" s="12">
        <f t="shared" si="390"/>
        <v>2</v>
      </c>
      <c r="AA1549" s="4" t="s">
        <v>117</v>
      </c>
      <c r="AC1549" s="176">
        <f t="shared" si="382"/>
        <v>1.090909090909091E-2</v>
      </c>
    </row>
    <row r="1550" spans="2:29">
      <c r="B1550" s="183">
        <f t="shared" si="391"/>
        <v>45</v>
      </c>
      <c r="C1550" s="107" t="str">
        <f t="shared" si="392"/>
        <v>ATK</v>
      </c>
      <c r="D1550" s="2" t="s">
        <v>5007</v>
      </c>
      <c r="E1550" s="3">
        <v>44139</v>
      </c>
      <c r="F1550" s="3">
        <v>44139</v>
      </c>
      <c r="G1550" s="108">
        <f t="shared" si="393"/>
        <v>11</v>
      </c>
      <c r="H1550" s="108" t="str">
        <f t="shared" si="394"/>
        <v>완료</v>
      </c>
      <c r="I1550" s="112" t="s">
        <v>5008</v>
      </c>
      <c r="J1550" s="4" t="s">
        <v>115</v>
      </c>
      <c r="K1550" s="5" t="s">
        <v>116</v>
      </c>
      <c r="L1550" s="6" t="str">
        <f t="shared" ref="L1550:L1551" si="395">LEFT(K1550,3)</f>
        <v>EE2</v>
      </c>
      <c r="M1550" s="13" t="s">
        <v>5010</v>
      </c>
      <c r="N1550" s="7" t="s">
        <v>3496</v>
      </c>
      <c r="O1550" s="13" t="s">
        <v>284</v>
      </c>
      <c r="P1550" s="115" t="s">
        <v>854</v>
      </c>
      <c r="Q1550" s="8"/>
      <c r="R1550" s="2">
        <v>1</v>
      </c>
      <c r="S1550" s="9">
        <v>1200</v>
      </c>
      <c r="T1550" s="10">
        <f t="shared" si="374"/>
        <v>600</v>
      </c>
      <c r="U1550" s="9">
        <v>5</v>
      </c>
      <c r="V1550" s="10">
        <f t="shared" si="375"/>
        <v>595</v>
      </c>
      <c r="W1550" s="4" t="s">
        <v>122</v>
      </c>
      <c r="X1550" s="2"/>
      <c r="Y1550" s="11">
        <v>3</v>
      </c>
      <c r="Z1550" s="12">
        <f t="shared" si="390"/>
        <v>0</v>
      </c>
      <c r="AA1550" s="4" t="s">
        <v>5009</v>
      </c>
      <c r="AC1550" s="176">
        <f t="shared" si="382"/>
        <v>4.5454545454545452E-3</v>
      </c>
    </row>
    <row r="1551" spans="2:29">
      <c r="B1551" s="183">
        <f t="shared" si="391"/>
        <v>45</v>
      </c>
      <c r="C1551" s="107" t="str">
        <f t="shared" si="392"/>
        <v>ATK</v>
      </c>
      <c r="D1551" s="2" t="s">
        <v>664</v>
      </c>
      <c r="E1551" s="3">
        <v>44139</v>
      </c>
      <c r="F1551" s="3">
        <v>44140</v>
      </c>
      <c r="G1551" s="108">
        <f t="shared" si="393"/>
        <v>11</v>
      </c>
      <c r="H1551" s="108" t="str">
        <f t="shared" si="394"/>
        <v>완료</v>
      </c>
      <c r="I1551" s="112" t="s">
        <v>218</v>
      </c>
      <c r="J1551" s="4" t="s">
        <v>127</v>
      </c>
      <c r="K1551" s="5" t="s">
        <v>135</v>
      </c>
      <c r="L1551" s="6" t="str">
        <f t="shared" si="395"/>
        <v>1T3</v>
      </c>
      <c r="M1551" s="13" t="s">
        <v>256</v>
      </c>
      <c r="N1551" s="13" t="s">
        <v>3527</v>
      </c>
      <c r="O1551" s="7" t="s">
        <v>362</v>
      </c>
      <c r="P1551" s="115"/>
      <c r="Q1551" s="8"/>
      <c r="R1551" s="2">
        <v>1</v>
      </c>
      <c r="S1551" s="9">
        <v>500</v>
      </c>
      <c r="T1551" s="10">
        <f t="shared" si="374"/>
        <v>250</v>
      </c>
      <c r="U1551" s="9">
        <v>200</v>
      </c>
      <c r="V1551" s="10">
        <f t="shared" si="375"/>
        <v>50</v>
      </c>
      <c r="W1551" s="4" t="s">
        <v>122</v>
      </c>
      <c r="X1551" s="2"/>
      <c r="Y1551" s="11">
        <v>1</v>
      </c>
      <c r="Z1551" s="12">
        <f t="shared" si="390"/>
        <v>1</v>
      </c>
      <c r="AA1551" s="4" t="s">
        <v>174</v>
      </c>
      <c r="AC1551" s="176">
        <f t="shared" si="382"/>
        <v>0.18181818181818182</v>
      </c>
    </row>
    <row r="1552" spans="2:29" ht="24">
      <c r="B1552" s="183">
        <f t="shared" si="391"/>
        <v>45</v>
      </c>
      <c r="C1552" s="107" t="str">
        <f t="shared" si="392"/>
        <v>ATK</v>
      </c>
      <c r="D1552" s="2" t="s">
        <v>217</v>
      </c>
      <c r="E1552" s="3">
        <v>44140</v>
      </c>
      <c r="F1552" s="3">
        <v>44140</v>
      </c>
      <c r="G1552" s="108">
        <f t="shared" si="393"/>
        <v>11</v>
      </c>
      <c r="H1552" s="108" t="str">
        <f t="shared" si="394"/>
        <v>완료</v>
      </c>
      <c r="I1552" s="112" t="s">
        <v>218</v>
      </c>
      <c r="J1552" s="4" t="s">
        <v>121</v>
      </c>
      <c r="K1552" s="5" t="s">
        <v>229</v>
      </c>
      <c r="L1552" s="6" t="str">
        <f t="shared" si="373"/>
        <v>5T2</v>
      </c>
      <c r="M1552" s="13" t="s">
        <v>4440</v>
      </c>
      <c r="N1552" s="7" t="s">
        <v>4684</v>
      </c>
      <c r="O1552" s="13" t="s">
        <v>4192</v>
      </c>
      <c r="P1552" s="115" t="s">
        <v>5011</v>
      </c>
      <c r="Q1552" s="8" t="s">
        <v>5564</v>
      </c>
      <c r="R1552" s="2">
        <v>1</v>
      </c>
      <c r="S1552" s="9">
        <v>4000</v>
      </c>
      <c r="T1552" s="10">
        <f t="shared" si="374"/>
        <v>2000</v>
      </c>
      <c r="U1552" s="9">
        <v>1</v>
      </c>
      <c r="V1552" s="10">
        <f t="shared" si="375"/>
        <v>1999</v>
      </c>
      <c r="W1552" s="4" t="s">
        <v>122</v>
      </c>
      <c r="X1552" s="2"/>
      <c r="Y1552" s="11">
        <v>8</v>
      </c>
      <c r="Z1552" s="12">
        <f t="shared" si="390"/>
        <v>0</v>
      </c>
      <c r="AA1552" s="4" t="s">
        <v>120</v>
      </c>
      <c r="AC1552" s="176">
        <f t="shared" si="382"/>
        <v>9.0909090909090909E-4</v>
      </c>
    </row>
    <row r="1553" spans="2:29">
      <c r="B1553" s="183">
        <f t="shared" si="391"/>
        <v>45</v>
      </c>
      <c r="C1553" s="107" t="str">
        <f t="shared" si="392"/>
        <v>ATK</v>
      </c>
      <c r="D1553" s="2" t="s">
        <v>5013</v>
      </c>
      <c r="E1553" s="3">
        <v>44138</v>
      </c>
      <c r="F1553" s="3">
        <v>44140</v>
      </c>
      <c r="G1553" s="108">
        <f t="shared" si="393"/>
        <v>11</v>
      </c>
      <c r="H1553" s="108" t="str">
        <f t="shared" si="394"/>
        <v>Other</v>
      </c>
      <c r="I1553" s="112" t="s">
        <v>5014</v>
      </c>
      <c r="J1553" s="4" t="s">
        <v>5015</v>
      </c>
      <c r="K1553" s="5" t="s">
        <v>5015</v>
      </c>
      <c r="L1553" s="6" t="str">
        <f t="shared" si="373"/>
        <v>Oth</v>
      </c>
      <c r="M1553" s="13" t="s">
        <v>5016</v>
      </c>
      <c r="N1553" s="7" t="s">
        <v>5018</v>
      </c>
      <c r="O1553" s="13" t="s">
        <v>5016</v>
      </c>
      <c r="P1553" s="115" t="s">
        <v>5017</v>
      </c>
      <c r="Q1553" s="8"/>
      <c r="R1553" s="2">
        <v>1</v>
      </c>
      <c r="S1553" s="9">
        <v>400</v>
      </c>
      <c r="T1553" s="10">
        <f t="shared" si="374"/>
        <v>200</v>
      </c>
      <c r="U1553" s="9">
        <v>0</v>
      </c>
      <c r="V1553" s="10">
        <f t="shared" si="375"/>
        <v>200</v>
      </c>
      <c r="W1553" s="4" t="s">
        <v>5019</v>
      </c>
      <c r="X1553" s="2"/>
      <c r="Y1553" s="11">
        <v>4</v>
      </c>
      <c r="Z1553" s="12">
        <f t="shared" si="390"/>
        <v>2</v>
      </c>
      <c r="AA1553" s="4" t="s">
        <v>5020</v>
      </c>
      <c r="AC1553" s="176">
        <f t="shared" si="382"/>
        <v>0</v>
      </c>
    </row>
    <row r="1554" spans="2:29">
      <c r="B1554" s="183">
        <f t="shared" si="391"/>
        <v>45</v>
      </c>
      <c r="C1554" s="107" t="str">
        <f t="shared" si="392"/>
        <v>ATK</v>
      </c>
      <c r="D1554" s="2" t="s">
        <v>5021</v>
      </c>
      <c r="E1554" s="3">
        <v>44139</v>
      </c>
      <c r="F1554" s="3">
        <v>44140</v>
      </c>
      <c r="G1554" s="108">
        <f t="shared" si="393"/>
        <v>11</v>
      </c>
      <c r="H1554" s="108" t="str">
        <f t="shared" si="394"/>
        <v>완료</v>
      </c>
      <c r="I1554" s="112" t="s">
        <v>218</v>
      </c>
      <c r="J1554" s="4" t="s">
        <v>115</v>
      </c>
      <c r="K1554" s="5" t="s">
        <v>322</v>
      </c>
      <c r="L1554" s="6" t="str">
        <f t="shared" si="373"/>
        <v>3T1</v>
      </c>
      <c r="M1554" s="13" t="s">
        <v>1507</v>
      </c>
      <c r="N1554" s="7" t="s">
        <v>5022</v>
      </c>
      <c r="O1554" s="13" t="s">
        <v>5023</v>
      </c>
      <c r="P1554" s="115" t="s">
        <v>5024</v>
      </c>
      <c r="Q1554" s="8"/>
      <c r="R1554" s="2">
        <v>1</v>
      </c>
      <c r="S1554" s="9">
        <v>500</v>
      </c>
      <c r="T1554" s="10">
        <f t="shared" si="374"/>
        <v>250</v>
      </c>
      <c r="U1554" s="9">
        <v>10</v>
      </c>
      <c r="V1554" s="10">
        <f t="shared" si="375"/>
        <v>240</v>
      </c>
      <c r="W1554" s="4" t="s">
        <v>122</v>
      </c>
      <c r="X1554" s="2"/>
      <c r="Y1554" s="11">
        <v>4</v>
      </c>
      <c r="Z1554" s="12">
        <f t="shared" si="390"/>
        <v>1</v>
      </c>
      <c r="AA1554" s="4" t="s">
        <v>212</v>
      </c>
      <c r="AC1554" s="176">
        <f t="shared" si="382"/>
        <v>9.0909090909090905E-3</v>
      </c>
    </row>
    <row r="1555" spans="2:29">
      <c r="B1555" s="183">
        <f t="shared" si="391"/>
        <v>51</v>
      </c>
      <c r="C1555" s="107" t="str">
        <f t="shared" si="392"/>
        <v>ATK</v>
      </c>
      <c r="D1555" s="2" t="s">
        <v>5021</v>
      </c>
      <c r="E1555" s="3">
        <v>44139</v>
      </c>
      <c r="F1555" s="3">
        <v>44180</v>
      </c>
      <c r="G1555" s="108">
        <f t="shared" si="393"/>
        <v>12</v>
      </c>
      <c r="H1555" s="108" t="str">
        <f t="shared" si="394"/>
        <v>완료</v>
      </c>
      <c r="I1555" s="112" t="s">
        <v>218</v>
      </c>
      <c r="J1555" s="4" t="s">
        <v>115</v>
      </c>
      <c r="K1555" s="5" t="s">
        <v>322</v>
      </c>
      <c r="L1555" s="6" t="str">
        <f t="shared" ref="L1555" si="396">LEFT(K1555,3)</f>
        <v>3T1</v>
      </c>
      <c r="M1555" s="13" t="s">
        <v>1507</v>
      </c>
      <c r="N1555" s="7" t="s">
        <v>5022</v>
      </c>
      <c r="O1555" s="13" t="s">
        <v>5023</v>
      </c>
      <c r="P1555" s="115" t="s">
        <v>5024</v>
      </c>
      <c r="Q1555" s="8"/>
      <c r="R1555" s="2">
        <v>1</v>
      </c>
      <c r="S1555" s="9">
        <v>500</v>
      </c>
      <c r="T1555" s="10">
        <f t="shared" ref="T1555" si="397">(S1555*50)/100*R1555</f>
        <v>250</v>
      </c>
      <c r="U1555" s="9">
        <v>10</v>
      </c>
      <c r="V1555" s="10">
        <f t="shared" ref="V1555" si="398">T1555-U1555</f>
        <v>240</v>
      </c>
      <c r="W1555" s="4"/>
      <c r="X1555" s="2"/>
      <c r="Y1555" s="11"/>
      <c r="Z1555" s="12">
        <f t="shared" ref="Z1555" si="399">F1555-E1555</f>
        <v>41</v>
      </c>
      <c r="AA1555" s="4" t="s">
        <v>212</v>
      </c>
      <c r="AC1555" s="176">
        <f t="shared" si="382"/>
        <v>9.0909090909090905E-3</v>
      </c>
    </row>
    <row r="1556" spans="2:29">
      <c r="B1556" s="183">
        <f t="shared" si="391"/>
        <v>45</v>
      </c>
      <c r="C1556" s="107" t="str">
        <f t="shared" si="392"/>
        <v>ATK</v>
      </c>
      <c r="D1556" s="2" t="s">
        <v>652</v>
      </c>
      <c r="E1556" s="3">
        <v>44137</v>
      </c>
      <c r="F1556" s="3">
        <v>44140</v>
      </c>
      <c r="G1556" s="108">
        <f t="shared" si="393"/>
        <v>11</v>
      </c>
      <c r="H1556" s="108" t="str">
        <f t="shared" si="394"/>
        <v>완료</v>
      </c>
      <c r="I1556" s="112" t="s">
        <v>218</v>
      </c>
      <c r="J1556" s="4" t="s">
        <v>281</v>
      </c>
      <c r="K1556" s="5" t="s">
        <v>332</v>
      </c>
      <c r="L1556" s="6" t="str">
        <f t="shared" si="373"/>
        <v>EE2</v>
      </c>
      <c r="M1556" s="13" t="s">
        <v>4536</v>
      </c>
      <c r="N1556" s="7" t="s">
        <v>4038</v>
      </c>
      <c r="O1556" s="13" t="s">
        <v>5025</v>
      </c>
      <c r="P1556" s="115"/>
      <c r="Q1556" s="8"/>
      <c r="R1556" s="2">
        <v>1</v>
      </c>
      <c r="S1556" s="9">
        <v>3500</v>
      </c>
      <c r="T1556" s="10">
        <f t="shared" si="374"/>
        <v>1750</v>
      </c>
      <c r="U1556" s="9">
        <v>30</v>
      </c>
      <c r="V1556" s="10">
        <f t="shared" si="375"/>
        <v>1720</v>
      </c>
      <c r="W1556" s="4" t="s">
        <v>122</v>
      </c>
      <c r="X1556" s="2"/>
      <c r="Y1556" s="11">
        <v>4</v>
      </c>
      <c r="Z1556" s="12">
        <f t="shared" si="390"/>
        <v>3</v>
      </c>
      <c r="AA1556" s="4" t="s">
        <v>27</v>
      </c>
      <c r="AC1556" s="176">
        <f t="shared" si="382"/>
        <v>2.7272727272727271E-2</v>
      </c>
    </row>
    <row r="1557" spans="2:29">
      <c r="B1557" s="183">
        <f t="shared" si="391"/>
        <v>45</v>
      </c>
      <c r="C1557" s="107" t="str">
        <f t="shared" si="392"/>
        <v>ATK</v>
      </c>
      <c r="D1557" s="2" t="s">
        <v>664</v>
      </c>
      <c r="E1557" s="3">
        <v>44140</v>
      </c>
      <c r="F1557" s="3">
        <v>44140</v>
      </c>
      <c r="G1557" s="108">
        <f t="shared" si="393"/>
        <v>11</v>
      </c>
      <c r="H1557" s="108" t="str">
        <f t="shared" si="394"/>
        <v>완료</v>
      </c>
      <c r="I1557" s="112" t="s">
        <v>218</v>
      </c>
      <c r="J1557" s="4" t="s">
        <v>127</v>
      </c>
      <c r="K1557" s="5" t="s">
        <v>135</v>
      </c>
      <c r="L1557" s="6" t="str">
        <f t="shared" si="373"/>
        <v>1T3</v>
      </c>
      <c r="M1557" s="13" t="s">
        <v>2166</v>
      </c>
      <c r="N1557" s="7" t="s">
        <v>5027</v>
      </c>
      <c r="O1557" s="13" t="s">
        <v>225</v>
      </c>
      <c r="P1557" s="115" t="s">
        <v>5026</v>
      </c>
      <c r="Q1557" s="8"/>
      <c r="R1557" s="2">
        <v>1</v>
      </c>
      <c r="S1557" s="9">
        <v>5000</v>
      </c>
      <c r="T1557" s="10">
        <f t="shared" si="374"/>
        <v>2500</v>
      </c>
      <c r="U1557" s="9">
        <v>20</v>
      </c>
      <c r="V1557" s="10">
        <f t="shared" si="375"/>
        <v>2480</v>
      </c>
      <c r="W1557" s="4" t="s">
        <v>122</v>
      </c>
      <c r="X1557" s="2"/>
      <c r="Y1557" s="11">
        <v>4</v>
      </c>
      <c r="Z1557" s="12">
        <f t="shared" si="390"/>
        <v>0</v>
      </c>
      <c r="AA1557" s="4" t="s">
        <v>27</v>
      </c>
      <c r="AC1557" s="176">
        <f t="shared" si="382"/>
        <v>1.8181818181818181E-2</v>
      </c>
    </row>
    <row r="1558" spans="2:29">
      <c r="B1558" s="183">
        <f t="shared" si="391"/>
        <v>45</v>
      </c>
      <c r="C1558" s="107" t="str">
        <f t="shared" si="392"/>
        <v>ATK</v>
      </c>
      <c r="D1558" s="2" t="s">
        <v>2847</v>
      </c>
      <c r="E1558" s="3">
        <v>44140</v>
      </c>
      <c r="F1558" s="3">
        <v>44141</v>
      </c>
      <c r="G1558" s="108">
        <f t="shared" si="393"/>
        <v>11</v>
      </c>
      <c r="H1558" s="108" t="str">
        <f t="shared" si="394"/>
        <v>완료</v>
      </c>
      <c r="I1558" s="112" t="s">
        <v>264</v>
      </c>
      <c r="J1558" s="4" t="s">
        <v>2673</v>
      </c>
      <c r="K1558" s="5" t="s">
        <v>805</v>
      </c>
      <c r="L1558" s="6" t="str">
        <f t="shared" si="373"/>
        <v>5T1</v>
      </c>
      <c r="M1558" s="13" t="s">
        <v>299</v>
      </c>
      <c r="N1558" s="7" t="s">
        <v>3519</v>
      </c>
      <c r="O1558" s="13" t="s">
        <v>270</v>
      </c>
      <c r="P1558" s="115" t="s">
        <v>5028</v>
      </c>
      <c r="Q1558" s="8"/>
      <c r="R1558" s="2">
        <v>1</v>
      </c>
      <c r="S1558" s="9">
        <v>910</v>
      </c>
      <c r="T1558" s="10">
        <f t="shared" si="374"/>
        <v>455</v>
      </c>
      <c r="U1558" s="9">
        <v>25</v>
      </c>
      <c r="V1558" s="10">
        <f t="shared" si="375"/>
        <v>430</v>
      </c>
      <c r="W1558" s="4" t="s">
        <v>249</v>
      </c>
      <c r="X1558" s="2"/>
      <c r="Y1558" s="11">
        <v>2</v>
      </c>
      <c r="Z1558" s="12">
        <f t="shared" si="390"/>
        <v>1</v>
      </c>
      <c r="AA1558" s="4" t="s">
        <v>174</v>
      </c>
      <c r="AC1558" s="176">
        <f t="shared" si="382"/>
        <v>2.2727272727272728E-2</v>
      </c>
    </row>
    <row r="1559" spans="2:29">
      <c r="B1559" s="183">
        <f t="shared" si="391"/>
        <v>45</v>
      </c>
      <c r="C1559" s="107" t="str">
        <f t="shared" si="392"/>
        <v>ATK</v>
      </c>
      <c r="D1559" s="2" t="s">
        <v>5029</v>
      </c>
      <c r="E1559" s="3">
        <v>44140</v>
      </c>
      <c r="F1559" s="3">
        <v>44141</v>
      </c>
      <c r="G1559" s="108">
        <f t="shared" si="393"/>
        <v>11</v>
      </c>
      <c r="H1559" s="108" t="str">
        <f t="shared" si="394"/>
        <v>완료</v>
      </c>
      <c r="I1559" s="112" t="s">
        <v>5030</v>
      </c>
      <c r="J1559" s="4" t="s">
        <v>5031</v>
      </c>
      <c r="K1559" s="5" t="s">
        <v>5031</v>
      </c>
      <c r="L1559" s="6" t="str">
        <f t="shared" si="373"/>
        <v>QA</v>
      </c>
      <c r="M1559" s="13" t="s">
        <v>1200</v>
      </c>
      <c r="N1559" s="7" t="s">
        <v>5032</v>
      </c>
      <c r="O1559" s="13" t="s">
        <v>5033</v>
      </c>
      <c r="P1559" s="115" t="s">
        <v>5034</v>
      </c>
      <c r="Q1559" s="8"/>
      <c r="R1559" s="2">
        <v>1</v>
      </c>
      <c r="S1559" s="9">
        <v>1500</v>
      </c>
      <c r="T1559" s="10">
        <f t="shared" si="374"/>
        <v>750</v>
      </c>
      <c r="U1559" s="9">
        <v>0</v>
      </c>
      <c r="V1559" s="10">
        <f t="shared" si="375"/>
        <v>750</v>
      </c>
      <c r="W1559" s="4" t="s">
        <v>5035</v>
      </c>
      <c r="X1559" s="2"/>
      <c r="Y1559" s="11">
        <v>2</v>
      </c>
      <c r="Z1559" s="12">
        <f t="shared" si="390"/>
        <v>1</v>
      </c>
      <c r="AA1559" s="4" t="s">
        <v>5036</v>
      </c>
      <c r="AC1559" s="176">
        <f t="shared" si="382"/>
        <v>0</v>
      </c>
    </row>
    <row r="1560" spans="2:29">
      <c r="B1560" s="183">
        <f t="shared" si="391"/>
        <v>45</v>
      </c>
      <c r="C1560" s="107" t="str">
        <f t="shared" si="392"/>
        <v>ATK</v>
      </c>
      <c r="D1560" s="2" t="s">
        <v>1693</v>
      </c>
      <c r="E1560" s="3">
        <v>44141</v>
      </c>
      <c r="F1560" s="3">
        <v>44141</v>
      </c>
      <c r="G1560" s="108">
        <f t="shared" si="393"/>
        <v>11</v>
      </c>
      <c r="H1560" s="108" t="str">
        <f t="shared" si="394"/>
        <v>완료</v>
      </c>
      <c r="I1560" s="112" t="s">
        <v>218</v>
      </c>
      <c r="J1560" s="4" t="s">
        <v>127</v>
      </c>
      <c r="K1560" s="5" t="s">
        <v>243</v>
      </c>
      <c r="L1560" s="6" t="str">
        <f t="shared" si="373"/>
        <v>K5</v>
      </c>
      <c r="M1560" s="13" t="s">
        <v>4330</v>
      </c>
      <c r="N1560" s="7" t="s">
        <v>5037</v>
      </c>
      <c r="O1560" s="13" t="s">
        <v>5038</v>
      </c>
      <c r="P1560" s="115" t="s">
        <v>5039</v>
      </c>
      <c r="Q1560" s="8" t="s">
        <v>5040</v>
      </c>
      <c r="R1560" s="2">
        <v>1</v>
      </c>
      <c r="S1560" s="9">
        <v>6000</v>
      </c>
      <c r="T1560" s="10">
        <f t="shared" si="374"/>
        <v>3000</v>
      </c>
      <c r="U1560" s="9">
        <v>0</v>
      </c>
      <c r="V1560" s="10">
        <f t="shared" si="375"/>
        <v>3000</v>
      </c>
      <c r="W1560" s="4" t="s">
        <v>122</v>
      </c>
      <c r="X1560" s="2"/>
      <c r="Y1560" s="11">
        <v>8</v>
      </c>
      <c r="Z1560" s="12">
        <f t="shared" si="390"/>
        <v>0</v>
      </c>
      <c r="AA1560" s="4" t="s">
        <v>120</v>
      </c>
      <c r="AC1560" s="176">
        <f t="shared" si="382"/>
        <v>0</v>
      </c>
    </row>
    <row r="1561" spans="2:29">
      <c r="B1561" s="183">
        <f t="shared" si="391"/>
        <v>45</v>
      </c>
      <c r="C1561" s="107" t="str">
        <f t="shared" si="392"/>
        <v>ATK</v>
      </c>
      <c r="D1561" s="2" t="s">
        <v>664</v>
      </c>
      <c r="E1561" s="3">
        <v>44137</v>
      </c>
      <c r="F1561" s="3">
        <v>44141</v>
      </c>
      <c r="G1561" s="108">
        <f t="shared" si="393"/>
        <v>11</v>
      </c>
      <c r="H1561" s="108" t="str">
        <f t="shared" si="394"/>
        <v>수리불가</v>
      </c>
      <c r="I1561" s="112" t="s">
        <v>601</v>
      </c>
      <c r="J1561" s="4" t="s">
        <v>127</v>
      </c>
      <c r="K1561" s="5" t="s">
        <v>135</v>
      </c>
      <c r="L1561" s="6" t="str">
        <f t="shared" si="373"/>
        <v>1T3</v>
      </c>
      <c r="M1561" s="13" t="s">
        <v>256</v>
      </c>
      <c r="N1561" s="7" t="s">
        <v>5041</v>
      </c>
      <c r="O1561" s="13" t="s">
        <v>4712</v>
      </c>
      <c r="P1561" s="115"/>
      <c r="Q1561" s="8"/>
      <c r="R1561" s="2">
        <v>1</v>
      </c>
      <c r="S1561" s="9">
        <v>2500</v>
      </c>
      <c r="T1561" s="10">
        <f t="shared" si="374"/>
        <v>1250</v>
      </c>
      <c r="U1561" s="9">
        <v>45</v>
      </c>
      <c r="V1561" s="10">
        <f t="shared" si="375"/>
        <v>1205</v>
      </c>
      <c r="W1561" s="4" t="s">
        <v>122</v>
      </c>
      <c r="X1561" s="2"/>
      <c r="Y1561" s="11">
        <v>3</v>
      </c>
      <c r="Z1561" s="12">
        <f t="shared" si="390"/>
        <v>4</v>
      </c>
      <c r="AA1561" s="4" t="s">
        <v>117</v>
      </c>
      <c r="AC1561" s="176">
        <f t="shared" si="382"/>
        <v>4.0909090909090909E-2</v>
      </c>
    </row>
    <row r="1562" spans="2:29">
      <c r="B1562" s="183">
        <f t="shared" si="391"/>
        <v>45</v>
      </c>
      <c r="C1562" s="107" t="str">
        <f t="shared" si="392"/>
        <v>ATK</v>
      </c>
      <c r="D1562" s="2" t="s">
        <v>664</v>
      </c>
      <c r="E1562" s="3">
        <v>44141</v>
      </c>
      <c r="F1562" s="3">
        <v>44141</v>
      </c>
      <c r="G1562" s="108">
        <f t="shared" si="393"/>
        <v>11</v>
      </c>
      <c r="H1562" s="108" t="str">
        <f t="shared" si="394"/>
        <v>완료</v>
      </c>
      <c r="I1562" s="112" t="s">
        <v>218</v>
      </c>
      <c r="J1562" s="4" t="s">
        <v>127</v>
      </c>
      <c r="K1562" s="5" t="s">
        <v>135</v>
      </c>
      <c r="L1562" s="6" t="str">
        <f t="shared" si="373"/>
        <v>1T3</v>
      </c>
      <c r="M1562" s="13" t="s">
        <v>256</v>
      </c>
      <c r="N1562" s="7" t="s">
        <v>5041</v>
      </c>
      <c r="O1562" s="13" t="s">
        <v>5042</v>
      </c>
      <c r="P1562" s="115"/>
      <c r="Q1562" s="8"/>
      <c r="R1562" s="2">
        <v>1</v>
      </c>
      <c r="S1562" s="9">
        <v>1600</v>
      </c>
      <c r="T1562" s="10">
        <f t="shared" si="374"/>
        <v>800</v>
      </c>
      <c r="U1562" s="9">
        <v>5</v>
      </c>
      <c r="V1562" s="10">
        <f t="shared" si="375"/>
        <v>795</v>
      </c>
      <c r="W1562" s="4" t="s">
        <v>122</v>
      </c>
      <c r="X1562" s="2"/>
      <c r="Y1562" s="11">
        <v>1</v>
      </c>
      <c r="Z1562" s="12">
        <f t="shared" si="390"/>
        <v>0</v>
      </c>
      <c r="AA1562" s="4" t="s">
        <v>117</v>
      </c>
      <c r="AC1562" s="176">
        <f t="shared" si="382"/>
        <v>4.5454545454545452E-3</v>
      </c>
    </row>
    <row r="1563" spans="2:29">
      <c r="B1563" s="183">
        <f t="shared" si="391"/>
        <v>45</v>
      </c>
      <c r="C1563" s="107" t="str">
        <f t="shared" si="392"/>
        <v>ATK</v>
      </c>
      <c r="D1563" s="2" t="s">
        <v>5043</v>
      </c>
      <c r="E1563" s="3">
        <v>44140</v>
      </c>
      <c r="F1563" s="3">
        <v>44141</v>
      </c>
      <c r="G1563" s="108">
        <f t="shared" si="393"/>
        <v>11</v>
      </c>
      <c r="H1563" s="108" t="str">
        <f t="shared" si="394"/>
        <v>완료</v>
      </c>
      <c r="I1563" s="112" t="s">
        <v>5044</v>
      </c>
      <c r="J1563" s="4" t="s">
        <v>547</v>
      </c>
      <c r="K1563" s="5" t="s">
        <v>548</v>
      </c>
      <c r="L1563" s="6" t="str">
        <f t="shared" si="373"/>
        <v>6T2</v>
      </c>
      <c r="M1563" s="13" t="s">
        <v>270</v>
      </c>
      <c r="N1563" s="7" t="s">
        <v>5045</v>
      </c>
      <c r="O1563" s="13" t="s">
        <v>270</v>
      </c>
      <c r="P1563" s="115" t="s">
        <v>5046</v>
      </c>
      <c r="Q1563" s="8"/>
      <c r="R1563" s="2">
        <v>1</v>
      </c>
      <c r="S1563" s="9">
        <v>910</v>
      </c>
      <c r="T1563" s="10">
        <f t="shared" si="374"/>
        <v>455</v>
      </c>
      <c r="U1563" s="9">
        <v>0</v>
      </c>
      <c r="V1563" s="10">
        <f t="shared" si="375"/>
        <v>455</v>
      </c>
      <c r="W1563" s="4" t="s">
        <v>5047</v>
      </c>
      <c r="X1563" s="2"/>
      <c r="Y1563" s="11">
        <v>2</v>
      </c>
      <c r="Z1563" s="12">
        <f t="shared" si="390"/>
        <v>1</v>
      </c>
      <c r="AA1563" s="4" t="s">
        <v>5048</v>
      </c>
      <c r="AC1563" s="176">
        <f t="shared" si="382"/>
        <v>0</v>
      </c>
    </row>
    <row r="1564" spans="2:29">
      <c r="B1564" s="183">
        <f t="shared" si="391"/>
        <v>45</v>
      </c>
      <c r="C1564" s="107" t="str">
        <f t="shared" si="392"/>
        <v>ATK</v>
      </c>
      <c r="D1564" s="2" t="s">
        <v>5049</v>
      </c>
      <c r="E1564" s="3">
        <v>44141</v>
      </c>
      <c r="F1564" s="3">
        <v>44141</v>
      </c>
      <c r="G1564" s="108">
        <f t="shared" si="393"/>
        <v>11</v>
      </c>
      <c r="H1564" s="108" t="str">
        <f t="shared" si="394"/>
        <v>Other</v>
      </c>
      <c r="I1564" s="112" t="s">
        <v>5050</v>
      </c>
      <c r="J1564" s="4" t="s">
        <v>132</v>
      </c>
      <c r="K1564" s="5" t="s">
        <v>322</v>
      </c>
      <c r="L1564" s="6" t="str">
        <f t="shared" si="373"/>
        <v>3T1</v>
      </c>
      <c r="M1564" s="13" t="s">
        <v>270</v>
      </c>
      <c r="N1564" s="7" t="s">
        <v>5051</v>
      </c>
      <c r="O1564" s="13" t="s">
        <v>270</v>
      </c>
      <c r="P1564" s="115" t="s">
        <v>2562</v>
      </c>
      <c r="Q1564" s="8"/>
      <c r="R1564" s="2">
        <v>1</v>
      </c>
      <c r="S1564" s="9">
        <v>0</v>
      </c>
      <c r="T1564" s="10">
        <v>0</v>
      </c>
      <c r="U1564" s="9">
        <v>0</v>
      </c>
      <c r="V1564" s="10">
        <v>0</v>
      </c>
      <c r="W1564" s="4" t="s">
        <v>5047</v>
      </c>
      <c r="X1564" s="2"/>
      <c r="Y1564" s="11">
        <v>1</v>
      </c>
      <c r="Z1564" s="12">
        <f t="shared" si="390"/>
        <v>0</v>
      </c>
      <c r="AA1564" s="4" t="s">
        <v>5048</v>
      </c>
      <c r="AC1564" s="176">
        <f t="shared" si="382"/>
        <v>0</v>
      </c>
    </row>
    <row r="1565" spans="2:29">
      <c r="B1565" s="183">
        <f t="shared" si="391"/>
        <v>45</v>
      </c>
      <c r="C1565" s="107" t="str">
        <f t="shared" si="392"/>
        <v>ATK</v>
      </c>
      <c r="D1565" s="2" t="s">
        <v>5053</v>
      </c>
      <c r="E1565" s="3">
        <v>44120</v>
      </c>
      <c r="F1565" s="3">
        <v>44141</v>
      </c>
      <c r="G1565" s="108">
        <f t="shared" si="393"/>
        <v>11</v>
      </c>
      <c r="H1565" s="108" t="str">
        <f t="shared" si="394"/>
        <v>완료</v>
      </c>
      <c r="I1565" s="112" t="s">
        <v>5054</v>
      </c>
      <c r="J1565" s="4" t="s">
        <v>481</v>
      </c>
      <c r="K1565" s="5" t="s">
        <v>621</v>
      </c>
      <c r="L1565" s="6" t="str">
        <f t="shared" si="373"/>
        <v>2T3</v>
      </c>
      <c r="M1565" s="13" t="s">
        <v>270</v>
      </c>
      <c r="N1565" s="7" t="s">
        <v>5055</v>
      </c>
      <c r="O1565" s="13" t="s">
        <v>270</v>
      </c>
      <c r="P1565" s="115" t="s">
        <v>5056</v>
      </c>
      <c r="Q1565" s="8"/>
      <c r="R1565" s="2">
        <v>1</v>
      </c>
      <c r="S1565" s="9">
        <v>1500</v>
      </c>
      <c r="T1565" s="10">
        <f t="shared" si="374"/>
        <v>750</v>
      </c>
      <c r="U1565" s="9">
        <v>0</v>
      </c>
      <c r="V1565" s="10">
        <f t="shared" si="375"/>
        <v>750</v>
      </c>
      <c r="W1565" s="4" t="s">
        <v>5057</v>
      </c>
      <c r="X1565" s="2"/>
      <c r="Y1565" s="11">
        <v>2</v>
      </c>
      <c r="Z1565" s="12">
        <f t="shared" si="390"/>
        <v>21</v>
      </c>
      <c r="AA1565" s="4" t="s">
        <v>5058</v>
      </c>
      <c r="AC1565" s="176">
        <f t="shared" si="382"/>
        <v>0</v>
      </c>
    </row>
    <row r="1566" spans="2:29">
      <c r="B1566" s="183">
        <f t="shared" si="391"/>
        <v>48</v>
      </c>
      <c r="C1566" s="107" t="str">
        <f t="shared" si="392"/>
        <v>ATK</v>
      </c>
      <c r="D1566" s="2" t="s">
        <v>5059</v>
      </c>
      <c r="E1566" s="3">
        <v>44144</v>
      </c>
      <c r="F1566" s="3">
        <v>44158</v>
      </c>
      <c r="G1566" s="108">
        <f t="shared" si="393"/>
        <v>11</v>
      </c>
      <c r="H1566" s="108" t="str">
        <f t="shared" si="394"/>
        <v>완료</v>
      </c>
      <c r="I1566" s="112" t="s">
        <v>218</v>
      </c>
      <c r="J1566" s="4" t="s">
        <v>243</v>
      </c>
      <c r="K1566" s="5" t="s">
        <v>243</v>
      </c>
      <c r="L1566" s="6" t="str">
        <f t="shared" si="373"/>
        <v>K5</v>
      </c>
      <c r="M1566" s="13"/>
      <c r="N1566" s="7" t="s">
        <v>5061</v>
      </c>
      <c r="O1566" s="13" t="s">
        <v>5060</v>
      </c>
      <c r="P1566" s="115"/>
      <c r="Q1566" s="8"/>
      <c r="R1566" s="2">
        <v>1</v>
      </c>
      <c r="S1566" s="9">
        <v>2100</v>
      </c>
      <c r="T1566" s="10">
        <f t="shared" si="374"/>
        <v>1050</v>
      </c>
      <c r="U1566" s="9">
        <v>30</v>
      </c>
      <c r="V1566" s="10">
        <f t="shared" si="375"/>
        <v>1020</v>
      </c>
      <c r="W1566" s="4" t="s">
        <v>122</v>
      </c>
      <c r="X1566" s="2"/>
      <c r="Y1566" s="11">
        <v>2</v>
      </c>
      <c r="Z1566" s="12">
        <f t="shared" si="390"/>
        <v>14</v>
      </c>
      <c r="AA1566" s="4" t="s">
        <v>117</v>
      </c>
      <c r="AC1566" s="176">
        <f t="shared" si="382"/>
        <v>2.7272727272727271E-2</v>
      </c>
    </row>
    <row r="1567" spans="2:29">
      <c r="B1567" s="183">
        <f t="shared" si="391"/>
        <v>46</v>
      </c>
      <c r="C1567" s="107" t="str">
        <f t="shared" si="392"/>
        <v>ATK</v>
      </c>
      <c r="D1567" s="2" t="s">
        <v>5062</v>
      </c>
      <c r="E1567" s="3">
        <v>44144</v>
      </c>
      <c r="F1567" s="3">
        <v>44144</v>
      </c>
      <c r="G1567" s="108">
        <f t="shared" si="393"/>
        <v>11</v>
      </c>
      <c r="H1567" s="108" t="str">
        <f t="shared" si="394"/>
        <v>완료</v>
      </c>
      <c r="I1567" s="112" t="s">
        <v>218</v>
      </c>
      <c r="J1567" s="4" t="s">
        <v>243</v>
      </c>
      <c r="K1567" s="5" t="s">
        <v>243</v>
      </c>
      <c r="L1567" s="6" t="str">
        <f t="shared" si="373"/>
        <v>K5</v>
      </c>
      <c r="M1567" s="13" t="s">
        <v>3970</v>
      </c>
      <c r="N1567" s="7" t="s">
        <v>5063</v>
      </c>
      <c r="O1567" s="13" t="s">
        <v>5064</v>
      </c>
      <c r="P1567" s="115"/>
      <c r="Q1567" s="8"/>
      <c r="R1567" s="2">
        <v>1</v>
      </c>
      <c r="S1567" s="9">
        <v>38000</v>
      </c>
      <c r="T1567" s="10">
        <f t="shared" si="374"/>
        <v>19000</v>
      </c>
      <c r="U1567" s="9">
        <v>50</v>
      </c>
      <c r="V1567" s="10">
        <f t="shared" si="375"/>
        <v>18950</v>
      </c>
      <c r="W1567" s="4" t="s">
        <v>122</v>
      </c>
      <c r="X1567" s="2"/>
      <c r="Y1567" s="11">
        <v>1</v>
      </c>
      <c r="Z1567" s="12">
        <f t="shared" si="390"/>
        <v>0</v>
      </c>
      <c r="AA1567" s="4" t="s">
        <v>117</v>
      </c>
      <c r="AC1567" s="176">
        <f t="shared" si="382"/>
        <v>4.5454545454545456E-2</v>
      </c>
    </row>
    <row r="1568" spans="2:29">
      <c r="B1568" s="183">
        <f t="shared" si="391"/>
        <v>46</v>
      </c>
      <c r="C1568" s="107" t="str">
        <f t="shared" si="392"/>
        <v>ATK</v>
      </c>
      <c r="D1568" s="2" t="s">
        <v>5066</v>
      </c>
      <c r="E1568" s="3">
        <v>44089</v>
      </c>
      <c r="F1568" s="3">
        <v>44144</v>
      </c>
      <c r="G1568" s="108">
        <f t="shared" si="393"/>
        <v>11</v>
      </c>
      <c r="H1568" s="108" t="str">
        <f t="shared" si="394"/>
        <v>Other</v>
      </c>
      <c r="I1568" s="112" t="s">
        <v>5065</v>
      </c>
      <c r="J1568" s="4" t="s">
        <v>5067</v>
      </c>
      <c r="K1568" s="5" t="s">
        <v>5068</v>
      </c>
      <c r="L1568" s="6" t="str">
        <f t="shared" ref="L1568:L1578" si="400">LEFT(K1568,3)</f>
        <v>EE1</v>
      </c>
      <c r="M1568" s="13" t="s">
        <v>5069</v>
      </c>
      <c r="N1568" s="7" t="s">
        <v>5070</v>
      </c>
      <c r="O1568" s="13" t="s">
        <v>5069</v>
      </c>
      <c r="P1568" s="115" t="s">
        <v>5073</v>
      </c>
      <c r="Q1568" s="8"/>
      <c r="R1568" s="2">
        <v>1</v>
      </c>
      <c r="S1568" s="9">
        <v>400</v>
      </c>
      <c r="T1568" s="10">
        <f t="shared" ref="T1568:T1578" si="401">(S1568*50)/100*R1568</f>
        <v>200</v>
      </c>
      <c r="U1568" s="9">
        <v>0</v>
      </c>
      <c r="V1568" s="10">
        <f t="shared" ref="V1568:V1578" si="402">T1568-U1568</f>
        <v>200</v>
      </c>
      <c r="W1568" s="4" t="s">
        <v>5071</v>
      </c>
      <c r="X1568" s="2"/>
      <c r="Y1568" s="11">
        <v>1</v>
      </c>
      <c r="Z1568" s="12">
        <f t="shared" si="390"/>
        <v>55</v>
      </c>
      <c r="AA1568" s="4" t="s">
        <v>5072</v>
      </c>
      <c r="AC1568" s="176">
        <f t="shared" si="382"/>
        <v>0</v>
      </c>
    </row>
    <row r="1569" spans="2:29" ht="24">
      <c r="B1569" s="183">
        <f t="shared" si="391"/>
        <v>46</v>
      </c>
      <c r="C1569" s="107" t="str">
        <f t="shared" si="392"/>
        <v>ATK</v>
      </c>
      <c r="D1569" s="2" t="s">
        <v>5074</v>
      </c>
      <c r="E1569" s="3">
        <v>44144</v>
      </c>
      <c r="F1569" s="3">
        <v>44144</v>
      </c>
      <c r="G1569" s="108">
        <f t="shared" si="393"/>
        <v>11</v>
      </c>
      <c r="H1569" s="108" t="str">
        <f t="shared" si="394"/>
        <v>완료</v>
      </c>
      <c r="I1569" s="112" t="s">
        <v>218</v>
      </c>
      <c r="J1569" s="4" t="s">
        <v>808</v>
      </c>
      <c r="K1569" s="5" t="s">
        <v>3116</v>
      </c>
      <c r="L1569" s="6" t="str">
        <f t="shared" si="400"/>
        <v>1T4</v>
      </c>
      <c r="M1569" s="13" t="s">
        <v>5075</v>
      </c>
      <c r="N1569" s="7" t="s">
        <v>5076</v>
      </c>
      <c r="O1569" s="13" t="s">
        <v>284</v>
      </c>
      <c r="P1569" s="115" t="s">
        <v>5077</v>
      </c>
      <c r="Q1569" s="8"/>
      <c r="R1569" s="2">
        <v>2</v>
      </c>
      <c r="S1569" s="9">
        <v>1500</v>
      </c>
      <c r="T1569" s="10">
        <f t="shared" si="401"/>
        <v>1500</v>
      </c>
      <c r="U1569" s="9">
        <v>0</v>
      </c>
      <c r="V1569" s="10">
        <f t="shared" si="402"/>
        <v>1500</v>
      </c>
      <c r="W1569" s="4" t="s">
        <v>122</v>
      </c>
      <c r="X1569" s="2"/>
      <c r="Y1569" s="11">
        <v>4</v>
      </c>
      <c r="Z1569" s="12">
        <f t="shared" si="390"/>
        <v>0</v>
      </c>
      <c r="AA1569" s="4" t="s">
        <v>212</v>
      </c>
      <c r="AC1569" s="176">
        <f t="shared" si="382"/>
        <v>0</v>
      </c>
    </row>
    <row r="1570" spans="2:29">
      <c r="B1570" s="183">
        <f t="shared" si="391"/>
        <v>46</v>
      </c>
      <c r="C1570" s="107" t="str">
        <f t="shared" si="392"/>
        <v>ATK</v>
      </c>
      <c r="D1570" s="2" t="s">
        <v>784</v>
      </c>
      <c r="E1570" s="3">
        <v>44144</v>
      </c>
      <c r="F1570" s="3">
        <v>44147</v>
      </c>
      <c r="G1570" s="108">
        <f t="shared" si="393"/>
        <v>11</v>
      </c>
      <c r="H1570" s="108" t="str">
        <f t="shared" si="394"/>
        <v>완료</v>
      </c>
      <c r="I1570" s="112" t="s">
        <v>218</v>
      </c>
      <c r="J1570" s="4" t="s">
        <v>808</v>
      </c>
      <c r="K1570" s="5" t="s">
        <v>133</v>
      </c>
      <c r="L1570" s="6" t="str">
        <f t="shared" si="400"/>
        <v>3T3</v>
      </c>
      <c r="M1570" s="13" t="s">
        <v>721</v>
      </c>
      <c r="N1570" s="7" t="s">
        <v>3581</v>
      </c>
      <c r="O1570" s="13" t="s">
        <v>284</v>
      </c>
      <c r="P1570" s="115" t="s">
        <v>5078</v>
      </c>
      <c r="Q1570" s="8"/>
      <c r="R1570" s="2">
        <v>2</v>
      </c>
      <c r="S1570" s="9">
        <v>2000</v>
      </c>
      <c r="T1570" s="10">
        <f t="shared" si="401"/>
        <v>2000</v>
      </c>
      <c r="U1570" s="9"/>
      <c r="V1570" s="10">
        <f t="shared" si="402"/>
        <v>2000</v>
      </c>
      <c r="W1570" s="4" t="s">
        <v>122</v>
      </c>
      <c r="X1570" s="2"/>
      <c r="Y1570" s="11">
        <v>8</v>
      </c>
      <c r="Z1570" s="12">
        <f t="shared" si="390"/>
        <v>3</v>
      </c>
      <c r="AA1570" s="4" t="s">
        <v>212</v>
      </c>
      <c r="AC1570" s="176">
        <f t="shared" si="382"/>
        <v>0</v>
      </c>
    </row>
    <row r="1571" spans="2:29">
      <c r="B1571" s="183">
        <f t="shared" si="391"/>
        <v>49</v>
      </c>
      <c r="C1571" s="107" t="str">
        <f t="shared" si="392"/>
        <v>ATK</v>
      </c>
      <c r="D1571" s="2" t="s">
        <v>4962</v>
      </c>
      <c r="E1571" s="3">
        <v>44137</v>
      </c>
      <c r="F1571" s="3">
        <v>44167</v>
      </c>
      <c r="G1571" s="108">
        <f t="shared" si="393"/>
        <v>12</v>
      </c>
      <c r="H1571" s="108" t="str">
        <f t="shared" si="394"/>
        <v>완료</v>
      </c>
      <c r="I1571" s="112" t="s">
        <v>514</v>
      </c>
      <c r="J1571" s="4" t="s">
        <v>281</v>
      </c>
      <c r="K1571" s="5" t="s">
        <v>332</v>
      </c>
      <c r="L1571" s="6" t="str">
        <f t="shared" si="400"/>
        <v>EE2</v>
      </c>
      <c r="M1571" s="196" t="s">
        <v>2166</v>
      </c>
      <c r="N1571" s="115" t="s">
        <v>3815</v>
      </c>
      <c r="O1571" s="13" t="s">
        <v>2169</v>
      </c>
      <c r="P1571" s="115" t="s">
        <v>4973</v>
      </c>
      <c r="Q1571" s="8" t="s">
        <v>4974</v>
      </c>
      <c r="R1571" s="2">
        <v>1</v>
      </c>
      <c r="S1571" s="9">
        <v>12760</v>
      </c>
      <c r="T1571" s="10">
        <f t="shared" si="401"/>
        <v>6380</v>
      </c>
      <c r="U1571" s="9">
        <v>2500</v>
      </c>
      <c r="V1571" s="10">
        <f t="shared" si="402"/>
        <v>3880</v>
      </c>
      <c r="W1571" s="4" t="s">
        <v>123</v>
      </c>
      <c r="X1571" s="2" t="s">
        <v>29</v>
      </c>
      <c r="Y1571" s="11">
        <v>1</v>
      </c>
      <c r="Z1571" s="12">
        <f t="shared" si="390"/>
        <v>30</v>
      </c>
      <c r="AA1571" s="4" t="s">
        <v>30</v>
      </c>
      <c r="AB1571" s="201" t="s">
        <v>4975</v>
      </c>
      <c r="AC1571" s="176">
        <f t="shared" si="382"/>
        <v>2.2727272727272729</v>
      </c>
    </row>
    <row r="1572" spans="2:29">
      <c r="B1572" s="183">
        <f t="shared" si="391"/>
        <v>50</v>
      </c>
      <c r="C1572" s="107" t="str">
        <f t="shared" si="392"/>
        <v>ATK</v>
      </c>
      <c r="D1572" s="2" t="s">
        <v>30</v>
      </c>
      <c r="E1572" s="3">
        <v>44141</v>
      </c>
      <c r="F1572" s="3">
        <v>44174</v>
      </c>
      <c r="G1572" s="108">
        <f t="shared" si="393"/>
        <v>12</v>
      </c>
      <c r="H1572" s="108" t="str">
        <f t="shared" si="394"/>
        <v>수리불가</v>
      </c>
      <c r="I1572" s="112" t="s">
        <v>670</v>
      </c>
      <c r="J1572" s="4" t="s">
        <v>281</v>
      </c>
      <c r="K1572" s="5" t="s">
        <v>282</v>
      </c>
      <c r="L1572" s="6" t="str">
        <f t="shared" si="400"/>
        <v>EE1</v>
      </c>
      <c r="M1572" s="13" t="s">
        <v>3293</v>
      </c>
      <c r="N1572" s="7" t="s">
        <v>226</v>
      </c>
      <c r="O1572" s="13" t="s">
        <v>5079</v>
      </c>
      <c r="P1572" s="115"/>
      <c r="Q1572" s="8" t="s">
        <v>5080</v>
      </c>
      <c r="R1572" s="2">
        <v>1</v>
      </c>
      <c r="S1572" s="9">
        <v>12000</v>
      </c>
      <c r="T1572" s="10">
        <f t="shared" si="401"/>
        <v>6000</v>
      </c>
      <c r="U1572" s="9">
        <v>0</v>
      </c>
      <c r="V1572" s="10">
        <f t="shared" si="402"/>
        <v>6000</v>
      </c>
      <c r="W1572" s="4" t="s">
        <v>123</v>
      </c>
      <c r="X1572" s="2" t="s">
        <v>178</v>
      </c>
      <c r="Y1572" s="11">
        <v>1</v>
      </c>
      <c r="Z1572" s="12">
        <f t="shared" si="390"/>
        <v>33</v>
      </c>
      <c r="AA1572" s="4" t="s">
        <v>30</v>
      </c>
      <c r="AB1572" s="201" t="s">
        <v>3434</v>
      </c>
      <c r="AC1572" s="176">
        <f t="shared" si="382"/>
        <v>0</v>
      </c>
    </row>
    <row r="1573" spans="2:29">
      <c r="B1573" s="183">
        <f t="shared" si="391"/>
        <v>46</v>
      </c>
      <c r="C1573" s="107" t="str">
        <f t="shared" si="392"/>
        <v>ATK</v>
      </c>
      <c r="D1573" s="2" t="s">
        <v>463</v>
      </c>
      <c r="E1573" s="3">
        <v>44133</v>
      </c>
      <c r="F1573" s="3">
        <v>44148</v>
      </c>
      <c r="G1573" s="108">
        <f t="shared" si="393"/>
        <v>11</v>
      </c>
      <c r="H1573" s="108" t="str">
        <f t="shared" si="394"/>
        <v>완료</v>
      </c>
      <c r="I1573" s="112" t="s">
        <v>514</v>
      </c>
      <c r="J1573" s="4" t="s">
        <v>804</v>
      </c>
      <c r="K1573" s="5" t="s">
        <v>136</v>
      </c>
      <c r="L1573" s="6" t="str">
        <f t="shared" si="400"/>
        <v>5T1</v>
      </c>
      <c r="M1573" s="13" t="s">
        <v>462</v>
      </c>
      <c r="N1573" s="7" t="s">
        <v>226</v>
      </c>
      <c r="O1573" s="13" t="s">
        <v>5081</v>
      </c>
      <c r="P1573" s="115"/>
      <c r="Q1573" s="8" t="s">
        <v>226</v>
      </c>
      <c r="R1573" s="2">
        <v>1</v>
      </c>
      <c r="S1573" s="9">
        <v>2000</v>
      </c>
      <c r="T1573" s="10">
        <f t="shared" si="401"/>
        <v>1000</v>
      </c>
      <c r="U1573" s="9">
        <v>500</v>
      </c>
      <c r="V1573" s="10">
        <f t="shared" si="402"/>
        <v>500</v>
      </c>
      <c r="W1573" s="4" t="s">
        <v>326</v>
      </c>
      <c r="X1573" s="2" t="s">
        <v>29</v>
      </c>
      <c r="Y1573" s="11">
        <v>1</v>
      </c>
      <c r="Z1573" s="12">
        <f t="shared" si="390"/>
        <v>15</v>
      </c>
      <c r="AA1573" s="4" t="s">
        <v>30</v>
      </c>
      <c r="AC1573" s="176">
        <f t="shared" si="382"/>
        <v>0.45454545454545453</v>
      </c>
    </row>
    <row r="1574" spans="2:29">
      <c r="B1574" s="183">
        <f t="shared" si="391"/>
        <v>46</v>
      </c>
      <c r="C1574" s="107" t="str">
        <f t="shared" si="392"/>
        <v>ATK</v>
      </c>
      <c r="D1574" s="2" t="s">
        <v>558</v>
      </c>
      <c r="E1574" s="3">
        <v>44141</v>
      </c>
      <c r="F1574" s="3">
        <v>44144</v>
      </c>
      <c r="G1574" s="108">
        <f t="shared" si="393"/>
        <v>11</v>
      </c>
      <c r="H1574" s="108" t="str">
        <f t="shared" si="394"/>
        <v>완료</v>
      </c>
      <c r="I1574" s="112" t="s">
        <v>264</v>
      </c>
      <c r="J1574" s="4" t="s">
        <v>118</v>
      </c>
      <c r="K1574" s="5" t="s">
        <v>137</v>
      </c>
      <c r="L1574" s="6" t="str">
        <f t="shared" si="400"/>
        <v>2T2</v>
      </c>
      <c r="M1574" s="13" t="s">
        <v>2166</v>
      </c>
      <c r="N1574" s="7" t="s">
        <v>226</v>
      </c>
      <c r="O1574" s="13" t="s">
        <v>225</v>
      </c>
      <c r="P1574" s="115" t="s">
        <v>5082</v>
      </c>
      <c r="Q1574" s="8"/>
      <c r="R1574" s="2">
        <v>1</v>
      </c>
      <c r="S1574" s="9">
        <v>5000</v>
      </c>
      <c r="T1574" s="10">
        <f t="shared" si="401"/>
        <v>2500</v>
      </c>
      <c r="U1574" s="9">
        <v>0</v>
      </c>
      <c r="V1574" s="10">
        <f t="shared" si="402"/>
        <v>2500</v>
      </c>
      <c r="W1574" s="4" t="s">
        <v>122</v>
      </c>
      <c r="X1574" s="2"/>
      <c r="Y1574" s="11">
        <v>8</v>
      </c>
      <c r="Z1574" s="12">
        <f t="shared" ref="Z1574:Z1576" si="403">F1574-E1574</f>
        <v>3</v>
      </c>
      <c r="AA1574" s="4" t="s">
        <v>27</v>
      </c>
      <c r="AC1574" s="176">
        <f t="shared" si="382"/>
        <v>0</v>
      </c>
    </row>
    <row r="1575" spans="2:29">
      <c r="B1575" s="183">
        <f t="shared" si="391"/>
        <v>46</v>
      </c>
      <c r="C1575" s="107" t="str">
        <f t="shared" si="392"/>
        <v>ATK</v>
      </c>
      <c r="D1575" s="2" t="s">
        <v>5083</v>
      </c>
      <c r="E1575" s="3">
        <v>44141</v>
      </c>
      <c r="F1575" s="3">
        <v>44144</v>
      </c>
      <c r="G1575" s="108">
        <f t="shared" si="393"/>
        <v>11</v>
      </c>
      <c r="H1575" s="108" t="str">
        <f t="shared" si="394"/>
        <v>완료</v>
      </c>
      <c r="I1575" s="112" t="s">
        <v>218</v>
      </c>
      <c r="J1575" s="4" t="s">
        <v>132</v>
      </c>
      <c r="K1575" s="5" t="s">
        <v>143</v>
      </c>
      <c r="L1575" s="6" t="str">
        <f t="shared" si="400"/>
        <v>3T4</v>
      </c>
      <c r="M1575" s="13" t="s">
        <v>216</v>
      </c>
      <c r="N1575" s="7"/>
      <c r="O1575" s="13" t="s">
        <v>367</v>
      </c>
      <c r="P1575" s="115"/>
      <c r="Q1575" s="8"/>
      <c r="R1575" s="2">
        <v>1</v>
      </c>
      <c r="S1575" s="9">
        <v>900</v>
      </c>
      <c r="T1575" s="10">
        <f t="shared" si="401"/>
        <v>450</v>
      </c>
      <c r="U1575" s="9">
        <v>30</v>
      </c>
      <c r="V1575" s="10">
        <f t="shared" si="402"/>
        <v>420</v>
      </c>
      <c r="W1575" s="4" t="s">
        <v>122</v>
      </c>
      <c r="X1575" s="2"/>
      <c r="Y1575" s="11">
        <v>1</v>
      </c>
      <c r="Z1575" s="12">
        <f t="shared" si="403"/>
        <v>3</v>
      </c>
      <c r="AA1575" s="4" t="s">
        <v>117</v>
      </c>
      <c r="AC1575" s="176">
        <f t="shared" si="382"/>
        <v>2.7272727272727271E-2</v>
      </c>
    </row>
    <row r="1576" spans="2:29">
      <c r="B1576" s="183">
        <f t="shared" si="391"/>
        <v>46</v>
      </c>
      <c r="C1576" s="107" t="str">
        <f t="shared" si="392"/>
        <v>ATK</v>
      </c>
      <c r="D1576" s="2" t="s">
        <v>590</v>
      </c>
      <c r="E1576" s="3">
        <v>44140</v>
      </c>
      <c r="F1576" s="3">
        <v>44144</v>
      </c>
      <c r="G1576" s="108">
        <f t="shared" si="393"/>
        <v>11</v>
      </c>
      <c r="H1576" s="108" t="str">
        <f t="shared" si="394"/>
        <v>완료</v>
      </c>
      <c r="I1576" s="112" t="s">
        <v>264</v>
      </c>
      <c r="J1576" s="4" t="s">
        <v>756</v>
      </c>
      <c r="K1576" s="5" t="s">
        <v>756</v>
      </c>
      <c r="L1576" s="6" t="str">
        <f t="shared" si="400"/>
        <v>QA</v>
      </c>
      <c r="M1576" s="13" t="s">
        <v>270</v>
      </c>
      <c r="N1576" s="7" t="s">
        <v>4111</v>
      </c>
      <c r="O1576" s="13" t="s">
        <v>270</v>
      </c>
      <c r="P1576" s="115" t="s">
        <v>5084</v>
      </c>
      <c r="Q1576" s="8"/>
      <c r="R1576" s="2">
        <v>1</v>
      </c>
      <c r="S1576" s="9">
        <v>1800</v>
      </c>
      <c r="T1576" s="10">
        <f t="shared" si="401"/>
        <v>900</v>
      </c>
      <c r="U1576" s="9">
        <v>0</v>
      </c>
      <c r="V1576" s="10">
        <f t="shared" si="402"/>
        <v>900</v>
      </c>
      <c r="W1576" s="4" t="s">
        <v>249</v>
      </c>
      <c r="X1576" s="2"/>
      <c r="Y1576" s="11">
        <v>2</v>
      </c>
      <c r="Z1576" s="12">
        <f t="shared" si="403"/>
        <v>4</v>
      </c>
      <c r="AA1576" s="4" t="s">
        <v>174</v>
      </c>
      <c r="AC1576" s="176">
        <f t="shared" si="382"/>
        <v>0</v>
      </c>
    </row>
    <row r="1577" spans="2:29">
      <c r="B1577" s="183">
        <f t="shared" si="391"/>
        <v>46</v>
      </c>
      <c r="C1577" s="107" t="str">
        <f t="shared" si="392"/>
        <v>ATK</v>
      </c>
      <c r="D1577" s="2" t="s">
        <v>1394</v>
      </c>
      <c r="E1577" s="3">
        <v>44144</v>
      </c>
      <c r="F1577" s="3">
        <v>44144</v>
      </c>
      <c r="G1577" s="108">
        <f t="shared" si="393"/>
        <v>11</v>
      </c>
      <c r="H1577" s="108" t="str">
        <f t="shared" si="394"/>
        <v>완료</v>
      </c>
      <c r="I1577" s="112" t="s">
        <v>218</v>
      </c>
      <c r="J1577" s="4" t="s">
        <v>127</v>
      </c>
      <c r="K1577" s="5" t="s">
        <v>209</v>
      </c>
      <c r="L1577" s="6" t="str">
        <f t="shared" si="400"/>
        <v>1T2</v>
      </c>
      <c r="M1577" s="13" t="s">
        <v>4115</v>
      </c>
      <c r="N1577" s="7" t="s">
        <v>5085</v>
      </c>
      <c r="O1577" s="13" t="s">
        <v>5086</v>
      </c>
      <c r="P1577" s="115" t="s">
        <v>5513</v>
      </c>
      <c r="Q1577" s="8"/>
      <c r="R1577" s="2">
        <v>1</v>
      </c>
      <c r="S1577" s="9">
        <v>6000</v>
      </c>
      <c r="T1577" s="10">
        <f t="shared" si="401"/>
        <v>3000</v>
      </c>
      <c r="U1577" s="9">
        <v>0</v>
      </c>
      <c r="V1577" s="10">
        <f t="shared" si="402"/>
        <v>3000</v>
      </c>
      <c r="W1577" s="4" t="s">
        <v>122</v>
      </c>
      <c r="X1577" s="2"/>
      <c r="Y1577" s="11">
        <v>4</v>
      </c>
      <c r="Z1577" s="12">
        <f t="shared" si="390"/>
        <v>0</v>
      </c>
      <c r="AA1577" s="4" t="s">
        <v>120</v>
      </c>
      <c r="AC1577" s="176">
        <f t="shared" si="382"/>
        <v>0</v>
      </c>
    </row>
    <row r="1578" spans="2:29">
      <c r="B1578" s="183">
        <f t="shared" si="391"/>
        <v>46</v>
      </c>
      <c r="C1578" s="107" t="str">
        <f t="shared" si="392"/>
        <v>ATK</v>
      </c>
      <c r="D1578" s="2" t="s">
        <v>2944</v>
      </c>
      <c r="E1578" s="3">
        <v>44145</v>
      </c>
      <c r="F1578" s="3">
        <v>44145</v>
      </c>
      <c r="G1578" s="108">
        <f t="shared" si="393"/>
        <v>11</v>
      </c>
      <c r="H1578" s="108" t="str">
        <f t="shared" si="394"/>
        <v>Other</v>
      </c>
      <c r="I1578" s="112" t="s">
        <v>251</v>
      </c>
      <c r="J1578" s="4" t="s">
        <v>251</v>
      </c>
      <c r="K1578" s="4" t="s">
        <v>251</v>
      </c>
      <c r="L1578" s="6" t="str">
        <f t="shared" si="400"/>
        <v>Oth</v>
      </c>
      <c r="M1578" s="13" t="s">
        <v>2910</v>
      </c>
      <c r="N1578" s="7" t="s">
        <v>5087</v>
      </c>
      <c r="O1578" s="13" t="s">
        <v>208</v>
      </c>
      <c r="P1578" s="115" t="s">
        <v>5088</v>
      </c>
      <c r="Q1578" s="8"/>
      <c r="R1578" s="2">
        <v>1</v>
      </c>
      <c r="S1578" s="9">
        <v>0</v>
      </c>
      <c r="T1578" s="10">
        <f t="shared" si="401"/>
        <v>0</v>
      </c>
      <c r="U1578" s="9">
        <v>0</v>
      </c>
      <c r="V1578" s="10">
        <f t="shared" si="402"/>
        <v>0</v>
      </c>
      <c r="W1578" s="4" t="s">
        <v>122</v>
      </c>
      <c r="X1578" s="2"/>
      <c r="Y1578" s="11">
        <v>2</v>
      </c>
      <c r="Z1578" s="12">
        <f t="shared" si="390"/>
        <v>0</v>
      </c>
      <c r="AA1578" s="4" t="s">
        <v>30</v>
      </c>
      <c r="AC1578" s="176">
        <f t="shared" si="382"/>
        <v>0</v>
      </c>
    </row>
    <row r="1579" spans="2:29">
      <c r="B1579" s="183">
        <f t="shared" si="391"/>
        <v>46</v>
      </c>
      <c r="C1579" s="107" t="str">
        <f t="shared" si="392"/>
        <v>ATK</v>
      </c>
      <c r="D1579" s="2" t="s">
        <v>2944</v>
      </c>
      <c r="E1579" s="3">
        <v>44145</v>
      </c>
      <c r="F1579" s="3">
        <v>44145</v>
      </c>
      <c r="G1579" s="108">
        <f t="shared" si="393"/>
        <v>11</v>
      </c>
      <c r="H1579" s="108" t="str">
        <f t="shared" si="394"/>
        <v>Other</v>
      </c>
      <c r="I1579" s="112" t="s">
        <v>251</v>
      </c>
      <c r="J1579" s="4" t="s">
        <v>251</v>
      </c>
      <c r="K1579" s="4" t="s">
        <v>251</v>
      </c>
      <c r="L1579" s="6" t="str">
        <f t="shared" ref="L1579:L1584" si="404">LEFT(K1579,3)</f>
        <v>Oth</v>
      </c>
      <c r="M1579" s="13" t="s">
        <v>2910</v>
      </c>
      <c r="N1579" s="7" t="s">
        <v>5087</v>
      </c>
      <c r="O1579" s="13" t="s">
        <v>208</v>
      </c>
      <c r="P1579" s="115" t="s">
        <v>5088</v>
      </c>
      <c r="Q1579" s="8"/>
      <c r="R1579" s="2">
        <v>1</v>
      </c>
      <c r="S1579" s="9">
        <v>0</v>
      </c>
      <c r="T1579" s="10">
        <f t="shared" ref="T1579:T1580" si="405">(S1579*50)/100*R1579</f>
        <v>0</v>
      </c>
      <c r="U1579" s="9">
        <v>0</v>
      </c>
      <c r="V1579" s="10">
        <f t="shared" ref="V1579:V1580" si="406">T1579-U1579</f>
        <v>0</v>
      </c>
      <c r="W1579" s="4" t="s">
        <v>122</v>
      </c>
      <c r="X1579" s="2"/>
      <c r="Y1579" s="11">
        <v>2</v>
      </c>
      <c r="Z1579" s="12">
        <f t="shared" ref="Z1579:Z1580" si="407">F1579-E1579</f>
        <v>0</v>
      </c>
      <c r="AA1579" s="4" t="s">
        <v>27</v>
      </c>
      <c r="AC1579" s="176">
        <f t="shared" si="382"/>
        <v>0</v>
      </c>
    </row>
    <row r="1580" spans="2:29">
      <c r="B1580" s="183">
        <f t="shared" si="391"/>
        <v>46</v>
      </c>
      <c r="C1580" s="107" t="str">
        <f t="shared" si="392"/>
        <v>ATK</v>
      </c>
      <c r="D1580" s="2" t="s">
        <v>2944</v>
      </c>
      <c r="E1580" s="3">
        <v>44145</v>
      </c>
      <c r="F1580" s="3">
        <v>44145</v>
      </c>
      <c r="G1580" s="108">
        <f t="shared" si="393"/>
        <v>11</v>
      </c>
      <c r="H1580" s="108" t="str">
        <f t="shared" si="394"/>
        <v>Other</v>
      </c>
      <c r="I1580" s="112" t="s">
        <v>251</v>
      </c>
      <c r="J1580" s="4" t="s">
        <v>251</v>
      </c>
      <c r="K1580" s="4" t="s">
        <v>251</v>
      </c>
      <c r="L1580" s="6" t="str">
        <f t="shared" si="404"/>
        <v>Oth</v>
      </c>
      <c r="M1580" s="13" t="s">
        <v>2910</v>
      </c>
      <c r="N1580" s="7" t="s">
        <v>5087</v>
      </c>
      <c r="O1580" s="13" t="s">
        <v>208</v>
      </c>
      <c r="P1580" s="115" t="s">
        <v>5088</v>
      </c>
      <c r="Q1580" s="8"/>
      <c r="R1580" s="2">
        <v>1</v>
      </c>
      <c r="S1580" s="9">
        <v>0</v>
      </c>
      <c r="T1580" s="10">
        <f t="shared" si="405"/>
        <v>0</v>
      </c>
      <c r="U1580" s="9">
        <v>0</v>
      </c>
      <c r="V1580" s="10">
        <f t="shared" si="406"/>
        <v>0</v>
      </c>
      <c r="W1580" s="4" t="s">
        <v>122</v>
      </c>
      <c r="X1580" s="2"/>
      <c r="Y1580" s="11">
        <v>2</v>
      </c>
      <c r="Z1580" s="12">
        <f t="shared" si="407"/>
        <v>0</v>
      </c>
      <c r="AA1580" s="4" t="s">
        <v>174</v>
      </c>
      <c r="AC1580" s="176">
        <f t="shared" si="382"/>
        <v>0</v>
      </c>
    </row>
    <row r="1581" spans="2:29">
      <c r="B1581" s="183">
        <f t="shared" si="391"/>
        <v>47</v>
      </c>
      <c r="C1581" s="107" t="str">
        <f t="shared" si="392"/>
        <v>ATK</v>
      </c>
      <c r="D1581" s="2" t="s">
        <v>217</v>
      </c>
      <c r="E1581" s="3">
        <v>44145</v>
      </c>
      <c r="F1581" s="3">
        <v>44151</v>
      </c>
      <c r="G1581" s="108">
        <f t="shared" si="393"/>
        <v>11</v>
      </c>
      <c r="H1581" s="108" t="str">
        <f t="shared" si="394"/>
        <v>완료</v>
      </c>
      <c r="I1581" s="112" t="s">
        <v>218</v>
      </c>
      <c r="J1581" s="4" t="s">
        <v>808</v>
      </c>
      <c r="K1581" s="5" t="s">
        <v>3116</v>
      </c>
      <c r="L1581" s="6" t="str">
        <f t="shared" si="404"/>
        <v>1T4</v>
      </c>
      <c r="M1581" s="13" t="s">
        <v>5075</v>
      </c>
      <c r="N1581" s="7" t="s">
        <v>1894</v>
      </c>
      <c r="O1581" s="13" t="s">
        <v>5089</v>
      </c>
      <c r="P1581" s="115" t="s">
        <v>5090</v>
      </c>
      <c r="Q1581" s="8"/>
      <c r="R1581" s="2">
        <v>1</v>
      </c>
      <c r="S1581" s="9">
        <v>700</v>
      </c>
      <c r="T1581" s="10">
        <f t="shared" ref="T1581:T1601" si="408">(S1581*50)/100*R1581</f>
        <v>350</v>
      </c>
      <c r="U1581" s="9">
        <v>100</v>
      </c>
      <c r="V1581" s="10">
        <f t="shared" ref="V1581:V1601" si="409">T1581-U1581</f>
        <v>250</v>
      </c>
      <c r="W1581" s="4" t="s">
        <v>122</v>
      </c>
      <c r="X1581" s="2"/>
      <c r="Y1581" s="11">
        <v>2</v>
      </c>
      <c r="Z1581" s="12">
        <f t="shared" ref="Z1581:Z1601" si="410">F1581-E1581</f>
        <v>6</v>
      </c>
      <c r="AA1581" s="4" t="s">
        <v>212</v>
      </c>
      <c r="AC1581" s="176">
        <f t="shared" si="382"/>
        <v>9.0909090909090912E-2</v>
      </c>
    </row>
    <row r="1582" spans="2:29">
      <c r="B1582" s="183">
        <f t="shared" si="391"/>
        <v>46</v>
      </c>
      <c r="C1582" s="107" t="str">
        <f t="shared" si="392"/>
        <v>ATK</v>
      </c>
      <c r="D1582" s="2" t="s">
        <v>541</v>
      </c>
      <c r="E1582" s="3">
        <v>44144</v>
      </c>
      <c r="F1582" s="3">
        <v>44145</v>
      </c>
      <c r="G1582" s="108">
        <f t="shared" si="393"/>
        <v>11</v>
      </c>
      <c r="H1582" s="108" t="str">
        <f t="shared" si="394"/>
        <v>완료</v>
      </c>
      <c r="I1582" s="112" t="s">
        <v>218</v>
      </c>
      <c r="J1582" s="4" t="s">
        <v>132</v>
      </c>
      <c r="K1582" s="5" t="s">
        <v>322</v>
      </c>
      <c r="L1582" s="6" t="str">
        <f t="shared" si="404"/>
        <v>3T1</v>
      </c>
      <c r="M1582" s="13" t="s">
        <v>813</v>
      </c>
      <c r="N1582" s="7" t="s">
        <v>4901</v>
      </c>
      <c r="O1582" s="13" t="s">
        <v>5091</v>
      </c>
      <c r="P1582" s="115" t="s">
        <v>1617</v>
      </c>
      <c r="Q1582" s="8"/>
      <c r="R1582" s="2">
        <v>1</v>
      </c>
      <c r="S1582" s="9">
        <v>3500</v>
      </c>
      <c r="T1582" s="10">
        <f t="shared" si="408"/>
        <v>1750</v>
      </c>
      <c r="U1582" s="9">
        <v>100</v>
      </c>
      <c r="V1582" s="10">
        <f t="shared" si="409"/>
        <v>1650</v>
      </c>
      <c r="W1582" s="4" t="s">
        <v>122</v>
      </c>
      <c r="X1582" s="2"/>
      <c r="Y1582" s="11">
        <v>3</v>
      </c>
      <c r="Z1582" s="12">
        <f t="shared" si="410"/>
        <v>1</v>
      </c>
      <c r="AA1582" s="4" t="s">
        <v>27</v>
      </c>
      <c r="AC1582" s="176">
        <f t="shared" si="382"/>
        <v>9.0909090909090912E-2</v>
      </c>
    </row>
    <row r="1583" spans="2:29">
      <c r="B1583" s="183">
        <f t="shared" si="391"/>
        <v>46</v>
      </c>
      <c r="C1583" s="107" t="str">
        <f t="shared" si="392"/>
        <v>ATK</v>
      </c>
      <c r="D1583" s="2" t="s">
        <v>764</v>
      </c>
      <c r="E1583" s="3">
        <v>44144</v>
      </c>
      <c r="F1583" s="3">
        <v>44144</v>
      </c>
      <c r="G1583" s="108">
        <f t="shared" si="393"/>
        <v>11</v>
      </c>
      <c r="H1583" s="108" t="str">
        <f t="shared" si="394"/>
        <v>완료</v>
      </c>
      <c r="I1583" s="112" t="s">
        <v>218</v>
      </c>
      <c r="J1583" s="4" t="s">
        <v>132</v>
      </c>
      <c r="K1583" s="5" t="s">
        <v>143</v>
      </c>
      <c r="L1583" s="6" t="str">
        <f t="shared" si="404"/>
        <v>3T4</v>
      </c>
      <c r="M1583" s="13" t="s">
        <v>299</v>
      </c>
      <c r="N1583" s="7" t="s">
        <v>5092</v>
      </c>
      <c r="O1583" s="13" t="s">
        <v>270</v>
      </c>
      <c r="P1583" s="115" t="s">
        <v>5093</v>
      </c>
      <c r="Q1583" s="8" t="s">
        <v>767</v>
      </c>
      <c r="R1583" s="2">
        <v>1</v>
      </c>
      <c r="S1583" s="9">
        <v>300</v>
      </c>
      <c r="T1583" s="10">
        <f t="shared" si="408"/>
        <v>150</v>
      </c>
      <c r="U1583" s="9">
        <v>20</v>
      </c>
      <c r="V1583" s="10">
        <f t="shared" si="409"/>
        <v>130</v>
      </c>
      <c r="W1583" s="4" t="s">
        <v>122</v>
      </c>
      <c r="X1583" s="2"/>
      <c r="Y1583" s="11">
        <v>4</v>
      </c>
      <c r="Z1583" s="12">
        <f t="shared" si="410"/>
        <v>0</v>
      </c>
      <c r="AA1583" s="4" t="s">
        <v>5107</v>
      </c>
      <c r="AC1583" s="176">
        <f t="shared" si="382"/>
        <v>1.8181818181818181E-2</v>
      </c>
    </row>
    <row r="1584" spans="2:29">
      <c r="B1584" s="183">
        <f t="shared" si="391"/>
        <v>46</v>
      </c>
      <c r="C1584" s="107" t="str">
        <f t="shared" si="392"/>
        <v>ATK</v>
      </c>
      <c r="D1584" s="2" t="s">
        <v>5094</v>
      </c>
      <c r="E1584" s="3">
        <v>44145</v>
      </c>
      <c r="F1584" s="3">
        <v>44145</v>
      </c>
      <c r="G1584" s="108">
        <f t="shared" si="393"/>
        <v>11</v>
      </c>
      <c r="H1584" s="108" t="str">
        <f t="shared" si="394"/>
        <v>완료</v>
      </c>
      <c r="I1584" s="112" t="s">
        <v>5095</v>
      </c>
      <c r="J1584" s="4" t="s">
        <v>251</v>
      </c>
      <c r="K1584" s="4" t="s">
        <v>251</v>
      </c>
      <c r="L1584" s="6" t="str">
        <f t="shared" si="404"/>
        <v>Oth</v>
      </c>
      <c r="M1584" s="13" t="s">
        <v>5096</v>
      </c>
      <c r="N1584" s="7" t="s">
        <v>5097</v>
      </c>
      <c r="O1584" s="13" t="s">
        <v>5098</v>
      </c>
      <c r="P1584" s="115" t="s">
        <v>5099</v>
      </c>
      <c r="Q1584" s="8"/>
      <c r="R1584" s="2">
        <v>1</v>
      </c>
      <c r="S1584" s="9">
        <v>150</v>
      </c>
      <c r="T1584" s="10">
        <f t="shared" si="408"/>
        <v>75</v>
      </c>
      <c r="U1584" s="9">
        <v>5</v>
      </c>
      <c r="V1584" s="10">
        <f t="shared" si="409"/>
        <v>70</v>
      </c>
      <c r="W1584" s="4" t="s">
        <v>5100</v>
      </c>
      <c r="X1584" s="2"/>
      <c r="Y1584" s="11">
        <v>1</v>
      </c>
      <c r="Z1584" s="12">
        <f t="shared" si="410"/>
        <v>0</v>
      </c>
      <c r="AA1584" s="4" t="s">
        <v>5101</v>
      </c>
      <c r="AC1584" s="176">
        <f t="shared" si="382"/>
        <v>4.5454545454545452E-3</v>
      </c>
    </row>
    <row r="1585" spans="2:29">
      <c r="B1585" s="183">
        <f t="shared" si="391"/>
        <v>46</v>
      </c>
      <c r="C1585" s="107" t="str">
        <f t="shared" si="392"/>
        <v>ATK</v>
      </c>
      <c r="D1585" s="2" t="s">
        <v>5102</v>
      </c>
      <c r="E1585" s="3">
        <v>44131</v>
      </c>
      <c r="F1585" s="3">
        <v>44146</v>
      </c>
      <c r="G1585" s="108">
        <f t="shared" si="393"/>
        <v>11</v>
      </c>
      <c r="H1585" s="108" t="str">
        <f t="shared" si="394"/>
        <v>완료</v>
      </c>
      <c r="I1585" s="112" t="s">
        <v>264</v>
      </c>
      <c r="J1585" s="4" t="s">
        <v>5103</v>
      </c>
      <c r="K1585" s="5" t="s">
        <v>5104</v>
      </c>
      <c r="L1585" s="6" t="str">
        <f t="shared" ref="L1585:L1598" si="411">LEFT(K1585,3)</f>
        <v>2T2</v>
      </c>
      <c r="M1585" s="13" t="s">
        <v>4536</v>
      </c>
      <c r="N1585" s="7" t="s">
        <v>5105</v>
      </c>
      <c r="O1585" s="13" t="s">
        <v>478</v>
      </c>
      <c r="P1585" s="115" t="s">
        <v>5118</v>
      </c>
      <c r="Q1585" s="8"/>
      <c r="R1585" s="2">
        <v>1</v>
      </c>
      <c r="S1585" s="9">
        <v>1600</v>
      </c>
      <c r="T1585" s="10">
        <f t="shared" si="408"/>
        <v>800</v>
      </c>
      <c r="U1585" s="9">
        <v>5</v>
      </c>
      <c r="V1585" s="10">
        <f t="shared" si="409"/>
        <v>795</v>
      </c>
      <c r="W1585" s="4" t="s">
        <v>5106</v>
      </c>
      <c r="X1585" s="2"/>
      <c r="Y1585" s="11">
        <v>6</v>
      </c>
      <c r="Z1585" s="12">
        <f t="shared" si="410"/>
        <v>15</v>
      </c>
      <c r="AA1585" s="4" t="s">
        <v>5107</v>
      </c>
      <c r="AC1585" s="176">
        <f t="shared" ref="AC1585:AC1648" si="412">U1585/1100</f>
        <v>4.5454545454545452E-3</v>
      </c>
    </row>
    <row r="1586" spans="2:29">
      <c r="B1586" s="183">
        <f t="shared" si="391"/>
        <v>46</v>
      </c>
      <c r="C1586" s="107" t="str">
        <f t="shared" si="392"/>
        <v>ATK</v>
      </c>
      <c r="D1586" s="2" t="s">
        <v>5108</v>
      </c>
      <c r="E1586" s="3">
        <v>44145</v>
      </c>
      <c r="F1586" s="3">
        <v>44145</v>
      </c>
      <c r="G1586" s="108">
        <f t="shared" si="393"/>
        <v>11</v>
      </c>
      <c r="H1586" s="108" t="str">
        <f t="shared" si="394"/>
        <v>완료</v>
      </c>
      <c r="I1586" s="112" t="s">
        <v>218</v>
      </c>
      <c r="J1586" s="4" t="s">
        <v>127</v>
      </c>
      <c r="K1586" s="5" t="s">
        <v>131</v>
      </c>
      <c r="L1586" s="6" t="str">
        <f t="shared" si="411"/>
        <v>1T4</v>
      </c>
      <c r="M1586" s="13" t="s">
        <v>226</v>
      </c>
      <c r="N1586" s="7" t="s">
        <v>4462</v>
      </c>
      <c r="O1586" s="13" t="s">
        <v>5109</v>
      </c>
      <c r="P1586" s="115" t="s">
        <v>5110</v>
      </c>
      <c r="Q1586" s="8"/>
      <c r="R1586" s="2">
        <v>1</v>
      </c>
      <c r="S1586" s="9">
        <v>500</v>
      </c>
      <c r="T1586" s="10">
        <f t="shared" si="408"/>
        <v>250</v>
      </c>
      <c r="U1586" s="9">
        <v>35</v>
      </c>
      <c r="V1586" s="10">
        <f t="shared" si="409"/>
        <v>215</v>
      </c>
      <c r="W1586" s="4" t="s">
        <v>122</v>
      </c>
      <c r="X1586" s="2"/>
      <c r="Y1586" s="11">
        <v>3</v>
      </c>
      <c r="Z1586" s="12">
        <f t="shared" si="410"/>
        <v>0</v>
      </c>
      <c r="AA1586" s="4" t="s">
        <v>117</v>
      </c>
      <c r="AC1586" s="176">
        <f t="shared" si="412"/>
        <v>3.1818181818181815E-2</v>
      </c>
    </row>
    <row r="1587" spans="2:29">
      <c r="B1587" s="183">
        <f t="shared" si="391"/>
        <v>46</v>
      </c>
      <c r="C1587" s="107" t="str">
        <f t="shared" si="392"/>
        <v>ATK</v>
      </c>
      <c r="D1587" s="2" t="s">
        <v>5111</v>
      </c>
      <c r="E1587" s="3">
        <v>44144</v>
      </c>
      <c r="F1587" s="3">
        <v>44146</v>
      </c>
      <c r="G1587" s="108">
        <f t="shared" si="393"/>
        <v>11</v>
      </c>
      <c r="H1587" s="108" t="str">
        <f t="shared" si="394"/>
        <v>완료</v>
      </c>
      <c r="I1587" s="112" t="s">
        <v>218</v>
      </c>
      <c r="J1587" s="4" t="s">
        <v>121</v>
      </c>
      <c r="K1587" s="5" t="s">
        <v>136</v>
      </c>
      <c r="L1587" s="6" t="str">
        <f t="shared" si="411"/>
        <v>5T1</v>
      </c>
      <c r="M1587" s="13" t="s">
        <v>226</v>
      </c>
      <c r="N1587" s="7" t="s">
        <v>4462</v>
      </c>
      <c r="O1587" s="13" t="s">
        <v>1032</v>
      </c>
      <c r="P1587" s="115"/>
      <c r="Q1587" s="8"/>
      <c r="R1587" s="2">
        <v>10</v>
      </c>
      <c r="S1587" s="9">
        <v>400</v>
      </c>
      <c r="T1587" s="10">
        <f t="shared" si="408"/>
        <v>2000</v>
      </c>
      <c r="U1587" s="9">
        <v>7</v>
      </c>
      <c r="V1587" s="10">
        <f t="shared" si="409"/>
        <v>1993</v>
      </c>
      <c r="W1587" s="4" t="s">
        <v>122</v>
      </c>
      <c r="X1587" s="2"/>
      <c r="Y1587" s="11">
        <v>3</v>
      </c>
      <c r="Z1587" s="12">
        <f t="shared" si="410"/>
        <v>2</v>
      </c>
      <c r="AA1587" s="4" t="s">
        <v>117</v>
      </c>
      <c r="AC1587" s="176">
        <f t="shared" si="412"/>
        <v>6.3636363636363638E-3</v>
      </c>
    </row>
    <row r="1588" spans="2:29">
      <c r="B1588" s="183">
        <f t="shared" si="391"/>
        <v>46</v>
      </c>
      <c r="C1588" s="107" t="str">
        <f t="shared" si="392"/>
        <v>ATK</v>
      </c>
      <c r="D1588" s="2" t="s">
        <v>5112</v>
      </c>
      <c r="E1588" s="3">
        <v>44146</v>
      </c>
      <c r="F1588" s="3">
        <v>44146</v>
      </c>
      <c r="G1588" s="108">
        <f t="shared" si="393"/>
        <v>11</v>
      </c>
      <c r="H1588" s="108" t="str">
        <f t="shared" si="394"/>
        <v>Other</v>
      </c>
      <c r="I1588" s="112" t="s">
        <v>5119</v>
      </c>
      <c r="J1588" s="4" t="s">
        <v>5113</v>
      </c>
      <c r="K1588" s="5" t="s">
        <v>133</v>
      </c>
      <c r="L1588" s="6" t="str">
        <f t="shared" si="411"/>
        <v>3T3</v>
      </c>
      <c r="M1588" s="13" t="s">
        <v>5114</v>
      </c>
      <c r="N1588" s="7" t="s">
        <v>5115</v>
      </c>
      <c r="O1588" s="13" t="s">
        <v>5114</v>
      </c>
      <c r="P1588" s="115" t="s">
        <v>5120</v>
      </c>
      <c r="Q1588" s="8"/>
      <c r="R1588" s="2">
        <v>1</v>
      </c>
      <c r="S1588" s="9">
        <v>250</v>
      </c>
      <c r="T1588" s="10">
        <f t="shared" si="408"/>
        <v>125</v>
      </c>
      <c r="U1588" s="9">
        <v>5</v>
      </c>
      <c r="V1588" s="10">
        <f t="shared" si="409"/>
        <v>120</v>
      </c>
      <c r="W1588" s="4" t="s">
        <v>5116</v>
      </c>
      <c r="X1588" s="2"/>
      <c r="Y1588" s="11">
        <v>2</v>
      </c>
      <c r="Z1588" s="12">
        <f t="shared" si="410"/>
        <v>0</v>
      </c>
      <c r="AA1588" s="4" t="s">
        <v>5117</v>
      </c>
      <c r="AC1588" s="176">
        <f t="shared" si="412"/>
        <v>4.5454545454545452E-3</v>
      </c>
    </row>
    <row r="1589" spans="2:29">
      <c r="B1589" s="183">
        <f t="shared" si="391"/>
        <v>46</v>
      </c>
      <c r="C1589" s="107" t="str">
        <f t="shared" si="392"/>
        <v>ATK</v>
      </c>
      <c r="D1589" s="2" t="s">
        <v>5121</v>
      </c>
      <c r="E1589" s="3">
        <v>44147</v>
      </c>
      <c r="F1589" s="3">
        <v>44147</v>
      </c>
      <c r="G1589" s="108">
        <f t="shared" si="393"/>
        <v>11</v>
      </c>
      <c r="H1589" s="108" t="str">
        <f t="shared" si="394"/>
        <v>완료</v>
      </c>
      <c r="I1589" s="112" t="s">
        <v>5122</v>
      </c>
      <c r="J1589" s="4" t="s">
        <v>5123</v>
      </c>
      <c r="K1589" s="5" t="s">
        <v>5124</v>
      </c>
      <c r="L1589" s="6" t="str">
        <f t="shared" si="411"/>
        <v>EE1</v>
      </c>
      <c r="M1589" s="13" t="s">
        <v>5125</v>
      </c>
      <c r="N1589" s="7" t="s">
        <v>5126</v>
      </c>
      <c r="O1589" s="13" t="s">
        <v>5127</v>
      </c>
      <c r="P1589" s="115" t="s">
        <v>5128</v>
      </c>
      <c r="Q1589" s="8" t="s">
        <v>5131</v>
      </c>
      <c r="R1589" s="2">
        <v>1</v>
      </c>
      <c r="S1589" s="9">
        <v>650</v>
      </c>
      <c r="T1589" s="10">
        <f t="shared" si="408"/>
        <v>325</v>
      </c>
      <c r="U1589" s="9">
        <v>20</v>
      </c>
      <c r="V1589" s="10">
        <f t="shared" si="409"/>
        <v>305</v>
      </c>
      <c r="W1589" s="4" t="s">
        <v>5129</v>
      </c>
      <c r="X1589" s="2"/>
      <c r="Y1589" s="11">
        <v>1</v>
      </c>
      <c r="Z1589" s="12">
        <f t="shared" si="410"/>
        <v>0</v>
      </c>
      <c r="AA1589" s="4" t="s">
        <v>5130</v>
      </c>
      <c r="AC1589" s="176">
        <f t="shared" si="412"/>
        <v>1.8181818181818181E-2</v>
      </c>
    </row>
    <row r="1590" spans="2:29">
      <c r="B1590" s="183">
        <f t="shared" si="391"/>
        <v>46</v>
      </c>
      <c r="C1590" s="107" t="str">
        <f t="shared" si="392"/>
        <v>ATK</v>
      </c>
      <c r="D1590" s="2" t="s">
        <v>1306</v>
      </c>
      <c r="E1590" s="3">
        <v>44147</v>
      </c>
      <c r="F1590" s="3">
        <v>44148</v>
      </c>
      <c r="G1590" s="108">
        <f t="shared" si="393"/>
        <v>11</v>
      </c>
      <c r="H1590" s="108" t="str">
        <f t="shared" si="394"/>
        <v>완료</v>
      </c>
      <c r="I1590" s="112" t="s">
        <v>264</v>
      </c>
      <c r="J1590" s="4" t="s">
        <v>5132</v>
      </c>
      <c r="K1590" s="5" t="s">
        <v>805</v>
      </c>
      <c r="L1590" s="6" t="str">
        <f t="shared" si="411"/>
        <v>5T1</v>
      </c>
      <c r="M1590" s="13" t="s">
        <v>5133</v>
      </c>
      <c r="N1590" s="7" t="s">
        <v>5134</v>
      </c>
      <c r="O1590" s="13" t="s">
        <v>5133</v>
      </c>
      <c r="P1590" s="115" t="s">
        <v>5135</v>
      </c>
      <c r="Q1590" s="8"/>
      <c r="R1590" s="2">
        <v>1</v>
      </c>
      <c r="S1590" s="9">
        <v>300</v>
      </c>
      <c r="T1590" s="10">
        <f t="shared" si="408"/>
        <v>150</v>
      </c>
      <c r="U1590" s="9">
        <v>5</v>
      </c>
      <c r="V1590" s="10">
        <f t="shared" si="409"/>
        <v>145</v>
      </c>
      <c r="W1590" s="4" t="s">
        <v>5136</v>
      </c>
      <c r="X1590" s="2"/>
      <c r="Y1590" s="11">
        <v>2</v>
      </c>
      <c r="Z1590" s="12">
        <f t="shared" si="410"/>
        <v>1</v>
      </c>
      <c r="AA1590" s="4" t="s">
        <v>174</v>
      </c>
      <c r="AC1590" s="176">
        <f t="shared" si="412"/>
        <v>4.5454545454545452E-3</v>
      </c>
    </row>
    <row r="1591" spans="2:29">
      <c r="B1591" s="183">
        <f t="shared" si="391"/>
        <v>46</v>
      </c>
      <c r="C1591" s="107" t="str">
        <f t="shared" si="392"/>
        <v>ATK</v>
      </c>
      <c r="D1591" s="2" t="s">
        <v>5137</v>
      </c>
      <c r="E1591" s="3">
        <v>44147</v>
      </c>
      <c r="F1591" s="3">
        <v>44148</v>
      </c>
      <c r="G1591" s="108">
        <f t="shared" si="393"/>
        <v>11</v>
      </c>
      <c r="H1591" s="108" t="str">
        <f t="shared" si="394"/>
        <v>완료</v>
      </c>
      <c r="I1591" s="112" t="s">
        <v>218</v>
      </c>
      <c r="J1591" s="4" t="s">
        <v>132</v>
      </c>
      <c r="K1591" s="5" t="s">
        <v>143</v>
      </c>
      <c r="L1591" s="6" t="str">
        <f t="shared" si="411"/>
        <v>3T4</v>
      </c>
      <c r="M1591" s="13" t="s">
        <v>207</v>
      </c>
      <c r="N1591" s="7" t="s">
        <v>5138</v>
      </c>
      <c r="O1591" s="13" t="s">
        <v>339</v>
      </c>
      <c r="P1591" s="115"/>
      <c r="Q1591" s="8"/>
      <c r="R1591" s="2">
        <v>1</v>
      </c>
      <c r="S1591" s="9">
        <v>2500</v>
      </c>
      <c r="T1591" s="10">
        <f t="shared" si="408"/>
        <v>1250</v>
      </c>
      <c r="U1591" s="9">
        <v>1</v>
      </c>
      <c r="V1591" s="10">
        <f t="shared" si="409"/>
        <v>1249</v>
      </c>
      <c r="W1591" s="4" t="s">
        <v>122</v>
      </c>
      <c r="X1591" s="2"/>
      <c r="Y1591" s="11">
        <v>1</v>
      </c>
      <c r="Z1591" s="12">
        <f t="shared" si="410"/>
        <v>1</v>
      </c>
      <c r="AA1591" s="4" t="s">
        <v>117</v>
      </c>
      <c r="AC1591" s="176">
        <f t="shared" si="412"/>
        <v>9.0909090909090909E-4</v>
      </c>
    </row>
    <row r="1592" spans="2:29">
      <c r="B1592" s="183">
        <f t="shared" si="391"/>
        <v>46</v>
      </c>
      <c r="C1592" s="107" t="str">
        <f t="shared" si="392"/>
        <v>ATK</v>
      </c>
      <c r="D1592" s="2" t="s">
        <v>5139</v>
      </c>
      <c r="E1592" s="3">
        <v>44146</v>
      </c>
      <c r="F1592" s="3">
        <v>44148</v>
      </c>
      <c r="G1592" s="108">
        <f t="shared" si="393"/>
        <v>11</v>
      </c>
      <c r="H1592" s="108" t="str">
        <f t="shared" si="394"/>
        <v>완료</v>
      </c>
      <c r="I1592" s="112" t="s">
        <v>218</v>
      </c>
      <c r="J1592" s="4" t="s">
        <v>132</v>
      </c>
      <c r="K1592" s="5" t="s">
        <v>322</v>
      </c>
      <c r="L1592" s="6" t="str">
        <f t="shared" si="411"/>
        <v>3T1</v>
      </c>
      <c r="M1592" s="13" t="s">
        <v>226</v>
      </c>
      <c r="N1592" s="7" t="s">
        <v>4462</v>
      </c>
      <c r="O1592" s="13" t="s">
        <v>1032</v>
      </c>
      <c r="P1592" s="115"/>
      <c r="Q1592" s="8"/>
      <c r="R1592" s="2">
        <v>5</v>
      </c>
      <c r="S1592" s="9">
        <v>500</v>
      </c>
      <c r="T1592" s="10">
        <f t="shared" si="408"/>
        <v>1250</v>
      </c>
      <c r="U1592" s="9">
        <v>14</v>
      </c>
      <c r="V1592" s="10">
        <f t="shared" si="409"/>
        <v>1236</v>
      </c>
      <c r="W1592" s="4" t="s">
        <v>122</v>
      </c>
      <c r="X1592" s="2"/>
      <c r="Y1592" s="11">
        <v>3</v>
      </c>
      <c r="Z1592" s="12">
        <f t="shared" si="410"/>
        <v>2</v>
      </c>
      <c r="AA1592" s="4" t="s">
        <v>117</v>
      </c>
      <c r="AC1592" s="176">
        <f t="shared" si="412"/>
        <v>1.2727272727272728E-2</v>
      </c>
    </row>
    <row r="1593" spans="2:29">
      <c r="B1593" s="183">
        <f t="shared" si="391"/>
        <v>46</v>
      </c>
      <c r="C1593" s="107" t="str">
        <f t="shared" si="392"/>
        <v>ATK</v>
      </c>
      <c r="D1593" s="2" t="s">
        <v>295</v>
      </c>
      <c r="E1593" s="3">
        <v>44148</v>
      </c>
      <c r="F1593" s="3">
        <v>44148</v>
      </c>
      <c r="G1593" s="108">
        <f t="shared" si="393"/>
        <v>11</v>
      </c>
      <c r="H1593" s="108" t="str">
        <f t="shared" si="394"/>
        <v>완료</v>
      </c>
      <c r="I1593" s="112" t="s">
        <v>218</v>
      </c>
      <c r="J1593" s="4" t="s">
        <v>132</v>
      </c>
      <c r="K1593" s="5" t="s">
        <v>133</v>
      </c>
      <c r="L1593" s="6" t="str">
        <f t="shared" si="411"/>
        <v>3T3</v>
      </c>
      <c r="M1593" s="13" t="s">
        <v>946</v>
      </c>
      <c r="N1593" s="7" t="s">
        <v>5140</v>
      </c>
      <c r="O1593" s="13" t="s">
        <v>225</v>
      </c>
      <c r="P1593" s="115" t="s">
        <v>5141</v>
      </c>
      <c r="Q1593" s="8"/>
      <c r="R1593" s="2">
        <v>1</v>
      </c>
      <c r="S1593" s="9">
        <v>5000</v>
      </c>
      <c r="T1593" s="10">
        <f t="shared" si="408"/>
        <v>2500</v>
      </c>
      <c r="U1593" s="9">
        <v>50</v>
      </c>
      <c r="V1593" s="10">
        <f t="shared" si="409"/>
        <v>2450</v>
      </c>
      <c r="W1593" s="4" t="s">
        <v>122</v>
      </c>
      <c r="X1593" s="2"/>
      <c r="Y1593" s="11">
        <v>6</v>
      </c>
      <c r="Z1593" s="12">
        <f t="shared" si="410"/>
        <v>0</v>
      </c>
      <c r="AA1593" s="4" t="s">
        <v>27</v>
      </c>
      <c r="AC1593" s="176">
        <f t="shared" si="412"/>
        <v>4.5454545454545456E-2</v>
      </c>
    </row>
    <row r="1594" spans="2:29">
      <c r="B1594" s="183">
        <f t="shared" si="391"/>
        <v>46</v>
      </c>
      <c r="C1594" s="107" t="str">
        <f t="shared" si="392"/>
        <v>ATK</v>
      </c>
      <c r="D1594" s="2" t="s">
        <v>5142</v>
      </c>
      <c r="E1594" s="3">
        <v>44148</v>
      </c>
      <c r="F1594" s="3">
        <v>44148</v>
      </c>
      <c r="G1594" s="108">
        <f t="shared" si="393"/>
        <v>11</v>
      </c>
      <c r="H1594" s="108" t="str">
        <f t="shared" si="394"/>
        <v>완료</v>
      </c>
      <c r="I1594" s="112" t="s">
        <v>5143</v>
      </c>
      <c r="J1594" s="4" t="s">
        <v>118</v>
      </c>
      <c r="K1594" s="5" t="s">
        <v>134</v>
      </c>
      <c r="L1594" s="6" t="str">
        <f t="shared" si="411"/>
        <v>2T1</v>
      </c>
      <c r="M1594" s="13" t="s">
        <v>5144</v>
      </c>
      <c r="N1594" s="7" t="s">
        <v>5145</v>
      </c>
      <c r="O1594" s="13" t="s">
        <v>270</v>
      </c>
      <c r="P1594" s="115" t="s">
        <v>5146</v>
      </c>
      <c r="Q1594" s="8"/>
      <c r="R1594" s="2">
        <v>1</v>
      </c>
      <c r="S1594" s="9">
        <v>910</v>
      </c>
      <c r="T1594" s="10">
        <f t="shared" si="408"/>
        <v>455</v>
      </c>
      <c r="U1594" s="9">
        <v>25</v>
      </c>
      <c r="V1594" s="10">
        <f t="shared" si="409"/>
        <v>430</v>
      </c>
      <c r="W1594" s="4" t="s">
        <v>5147</v>
      </c>
      <c r="X1594" s="2"/>
      <c r="Y1594" s="11">
        <v>2</v>
      </c>
      <c r="Z1594" s="12">
        <f t="shared" si="410"/>
        <v>0</v>
      </c>
      <c r="AA1594" s="4" t="s">
        <v>5148</v>
      </c>
      <c r="AC1594" s="176">
        <f t="shared" si="412"/>
        <v>2.2727272727272728E-2</v>
      </c>
    </row>
    <row r="1595" spans="2:29">
      <c r="B1595" s="183">
        <f t="shared" si="391"/>
        <v>46</v>
      </c>
      <c r="C1595" s="107" t="str">
        <f t="shared" si="392"/>
        <v>ATK</v>
      </c>
      <c r="D1595" s="2" t="s">
        <v>5148</v>
      </c>
      <c r="E1595" s="3">
        <v>44148</v>
      </c>
      <c r="F1595" s="3">
        <v>44148</v>
      </c>
      <c r="G1595" s="108">
        <f t="shared" si="393"/>
        <v>11</v>
      </c>
      <c r="H1595" s="108" t="str">
        <f t="shared" si="394"/>
        <v>완료</v>
      </c>
      <c r="I1595" s="112" t="s">
        <v>5143</v>
      </c>
      <c r="J1595" s="4" t="s">
        <v>5149</v>
      </c>
      <c r="K1595" s="5" t="s">
        <v>5150</v>
      </c>
      <c r="L1595" s="6" t="str">
        <f t="shared" si="411"/>
        <v>EE1</v>
      </c>
      <c r="M1595" s="13" t="s">
        <v>5151</v>
      </c>
      <c r="N1595" s="7" t="s">
        <v>5134</v>
      </c>
      <c r="O1595" s="13" t="s">
        <v>5151</v>
      </c>
      <c r="P1595" s="115" t="s">
        <v>5152</v>
      </c>
      <c r="Q1595" s="8"/>
      <c r="R1595" s="2">
        <v>1</v>
      </c>
      <c r="S1595" s="9">
        <v>250</v>
      </c>
      <c r="T1595" s="10">
        <f t="shared" si="408"/>
        <v>125</v>
      </c>
      <c r="U1595" s="9">
        <v>0</v>
      </c>
      <c r="V1595" s="10">
        <f t="shared" si="409"/>
        <v>125</v>
      </c>
      <c r="W1595" s="4" t="s">
        <v>5147</v>
      </c>
      <c r="X1595" s="2"/>
      <c r="Y1595" s="11">
        <v>1</v>
      </c>
      <c r="Z1595" s="12">
        <f t="shared" si="410"/>
        <v>0</v>
      </c>
      <c r="AA1595" s="4" t="s">
        <v>5148</v>
      </c>
      <c r="AC1595" s="176">
        <f t="shared" si="412"/>
        <v>0</v>
      </c>
    </row>
    <row r="1596" spans="2:29">
      <c r="B1596" s="183">
        <f t="shared" si="391"/>
        <v>46</v>
      </c>
      <c r="C1596" s="107" t="str">
        <f t="shared" si="392"/>
        <v>ATK</v>
      </c>
      <c r="D1596" s="2" t="s">
        <v>5153</v>
      </c>
      <c r="E1596" s="3">
        <v>44144</v>
      </c>
      <c r="F1596" s="3">
        <v>44148</v>
      </c>
      <c r="G1596" s="108">
        <f t="shared" si="393"/>
        <v>11</v>
      </c>
      <c r="H1596" s="108" t="str">
        <f t="shared" si="394"/>
        <v>완료</v>
      </c>
      <c r="I1596" s="112" t="s">
        <v>5154</v>
      </c>
      <c r="J1596" s="4" t="s">
        <v>5155</v>
      </c>
      <c r="K1596" s="5" t="s">
        <v>5156</v>
      </c>
      <c r="L1596" s="6" t="str">
        <f t="shared" si="411"/>
        <v>1T3</v>
      </c>
      <c r="M1596" s="13" t="s">
        <v>4536</v>
      </c>
      <c r="N1596" s="7" t="s">
        <v>5157</v>
      </c>
      <c r="O1596" s="13" t="s">
        <v>482</v>
      </c>
      <c r="P1596" s="115" t="s">
        <v>5158</v>
      </c>
      <c r="Q1596" s="8"/>
      <c r="R1596" s="2">
        <v>1</v>
      </c>
      <c r="S1596" s="9">
        <v>1500</v>
      </c>
      <c r="T1596" s="10">
        <f t="shared" si="408"/>
        <v>750</v>
      </c>
      <c r="U1596" s="9">
        <v>5</v>
      </c>
      <c r="V1596" s="10">
        <f t="shared" si="409"/>
        <v>745</v>
      </c>
      <c r="W1596" s="4" t="s">
        <v>5159</v>
      </c>
      <c r="X1596" s="2"/>
      <c r="Y1596" s="11">
        <v>1</v>
      </c>
      <c r="Z1596" s="12">
        <f t="shared" si="410"/>
        <v>4</v>
      </c>
      <c r="AA1596" s="4" t="s">
        <v>5160</v>
      </c>
      <c r="AC1596" s="176">
        <f t="shared" si="412"/>
        <v>4.5454545454545452E-3</v>
      </c>
    </row>
    <row r="1597" spans="2:29">
      <c r="B1597" s="183">
        <f t="shared" si="391"/>
        <v>47</v>
      </c>
      <c r="C1597" s="107" t="str">
        <f t="shared" si="392"/>
        <v>ATK</v>
      </c>
      <c r="D1597" s="2" t="s">
        <v>664</v>
      </c>
      <c r="E1597" s="3">
        <v>44148</v>
      </c>
      <c r="F1597" s="3">
        <v>44151</v>
      </c>
      <c r="G1597" s="108">
        <f t="shared" si="393"/>
        <v>11</v>
      </c>
      <c r="H1597" s="108" t="str">
        <f t="shared" si="394"/>
        <v>완료</v>
      </c>
      <c r="I1597" s="112" t="s">
        <v>264</v>
      </c>
      <c r="J1597" s="4" t="s">
        <v>808</v>
      </c>
      <c r="K1597" s="5" t="s">
        <v>833</v>
      </c>
      <c r="L1597" s="6" t="str">
        <f t="shared" ref="L1597" si="413">LEFT(K1597,3)</f>
        <v>1T3</v>
      </c>
      <c r="M1597" s="13" t="s">
        <v>4536</v>
      </c>
      <c r="N1597" s="7" t="s">
        <v>4134</v>
      </c>
      <c r="O1597" s="13" t="s">
        <v>482</v>
      </c>
      <c r="P1597" s="115" t="s">
        <v>4971</v>
      </c>
      <c r="Q1597" s="8"/>
      <c r="R1597" s="2">
        <v>2</v>
      </c>
      <c r="S1597" s="9">
        <v>1500</v>
      </c>
      <c r="T1597" s="10">
        <f t="shared" ref="T1597:T1598" si="414">(S1597*50)/100*R1597</f>
        <v>1500</v>
      </c>
      <c r="U1597" s="9">
        <v>10</v>
      </c>
      <c r="V1597" s="10">
        <f t="shared" ref="V1597:V1598" si="415">T1597-U1597</f>
        <v>1490</v>
      </c>
      <c r="W1597" s="4" t="s">
        <v>350</v>
      </c>
      <c r="X1597" s="2"/>
      <c r="Y1597" s="11">
        <v>4</v>
      </c>
      <c r="Z1597" s="12">
        <f t="shared" ref="Z1597:Z1598" si="416">F1597-E1597</f>
        <v>3</v>
      </c>
      <c r="AA1597" s="4" t="s">
        <v>5161</v>
      </c>
      <c r="AC1597" s="176">
        <f t="shared" si="412"/>
        <v>9.0909090909090905E-3</v>
      </c>
    </row>
    <row r="1598" spans="2:29">
      <c r="B1598" s="183">
        <f t="shared" si="391"/>
        <v>47</v>
      </c>
      <c r="C1598" s="107" t="str">
        <f t="shared" si="392"/>
        <v>ATK</v>
      </c>
      <c r="D1598" s="2" t="s">
        <v>5162</v>
      </c>
      <c r="E1598" s="3">
        <v>44144</v>
      </c>
      <c r="F1598" s="3">
        <v>44151</v>
      </c>
      <c r="G1598" s="108">
        <f t="shared" si="393"/>
        <v>11</v>
      </c>
      <c r="H1598" s="108" t="str">
        <f t="shared" si="394"/>
        <v>완료</v>
      </c>
      <c r="I1598" s="112" t="s">
        <v>264</v>
      </c>
      <c r="J1598" s="4" t="s">
        <v>5163</v>
      </c>
      <c r="K1598" s="5" t="s">
        <v>5164</v>
      </c>
      <c r="L1598" s="6" t="str">
        <f t="shared" si="411"/>
        <v>EE2</v>
      </c>
      <c r="M1598" s="196" t="s">
        <v>2166</v>
      </c>
      <c r="N1598" s="7" t="s">
        <v>3496</v>
      </c>
      <c r="O1598" s="13" t="s">
        <v>214</v>
      </c>
      <c r="P1598" s="115" t="s">
        <v>5165</v>
      </c>
      <c r="Q1598" s="8"/>
      <c r="R1598" s="2">
        <v>1</v>
      </c>
      <c r="S1598" s="9">
        <v>1000</v>
      </c>
      <c r="T1598" s="10">
        <f t="shared" si="414"/>
        <v>500</v>
      </c>
      <c r="U1598" s="9">
        <v>5</v>
      </c>
      <c r="V1598" s="10">
        <f t="shared" si="415"/>
        <v>495</v>
      </c>
      <c r="W1598" s="4" t="s">
        <v>122</v>
      </c>
      <c r="X1598" s="2"/>
      <c r="Y1598" s="11">
        <v>2</v>
      </c>
      <c r="Z1598" s="12">
        <f t="shared" si="416"/>
        <v>7</v>
      </c>
      <c r="AA1598" s="4" t="s">
        <v>608</v>
      </c>
      <c r="AC1598" s="176">
        <f t="shared" si="412"/>
        <v>4.5454545454545452E-3</v>
      </c>
    </row>
    <row r="1599" spans="2:29">
      <c r="B1599" s="183">
        <f t="shared" si="391"/>
        <v>50</v>
      </c>
      <c r="C1599" s="107" t="str">
        <f t="shared" si="392"/>
        <v>ATK</v>
      </c>
      <c r="D1599" s="2" t="s">
        <v>837</v>
      </c>
      <c r="E1599" s="3">
        <v>44123</v>
      </c>
      <c r="F1599" s="3">
        <v>44173</v>
      </c>
      <c r="G1599" s="108">
        <f t="shared" si="393"/>
        <v>12</v>
      </c>
      <c r="H1599" s="108" t="str">
        <f t="shared" si="394"/>
        <v>완료</v>
      </c>
      <c r="I1599" s="112" t="s">
        <v>218</v>
      </c>
      <c r="J1599" s="4" t="s">
        <v>281</v>
      </c>
      <c r="K1599" s="5" t="s">
        <v>332</v>
      </c>
      <c r="L1599" s="6" t="str">
        <f t="shared" ref="L1599:L1601" si="417">LEFT(K1599,3)</f>
        <v>EE2</v>
      </c>
      <c r="M1599" s="13" t="s">
        <v>4536</v>
      </c>
      <c r="N1599" s="7" t="s">
        <v>4038</v>
      </c>
      <c r="O1599" s="13" t="s">
        <v>478</v>
      </c>
      <c r="P1599" s="115" t="s">
        <v>4496</v>
      </c>
      <c r="Q1599" s="8"/>
      <c r="R1599" s="2">
        <v>4</v>
      </c>
      <c r="S1599" s="9">
        <v>1600</v>
      </c>
      <c r="T1599" s="10">
        <f t="shared" si="408"/>
        <v>3200</v>
      </c>
      <c r="U1599" s="9">
        <v>30</v>
      </c>
      <c r="V1599" s="10">
        <f t="shared" si="409"/>
        <v>3170</v>
      </c>
      <c r="W1599" s="4" t="s">
        <v>122</v>
      </c>
      <c r="X1599" s="2"/>
      <c r="Y1599" s="11">
        <v>8</v>
      </c>
      <c r="Z1599" s="12">
        <f t="shared" si="410"/>
        <v>50</v>
      </c>
      <c r="AA1599" s="4" t="s">
        <v>27</v>
      </c>
      <c r="AC1599" s="176">
        <f t="shared" si="412"/>
        <v>2.7272727272727271E-2</v>
      </c>
    </row>
    <row r="1600" spans="2:29">
      <c r="B1600" s="183">
        <f t="shared" si="391"/>
        <v>47</v>
      </c>
      <c r="C1600" s="107" t="str">
        <f t="shared" si="392"/>
        <v>ATK</v>
      </c>
      <c r="D1600" s="2" t="s">
        <v>455</v>
      </c>
      <c r="E1600" s="3">
        <v>44116</v>
      </c>
      <c r="F1600" s="3">
        <v>44151</v>
      </c>
      <c r="G1600" s="108">
        <f t="shared" si="393"/>
        <v>11</v>
      </c>
      <c r="H1600" s="108" t="str">
        <f t="shared" si="394"/>
        <v>완료</v>
      </c>
      <c r="I1600" s="112" t="s">
        <v>218</v>
      </c>
      <c r="J1600" s="4" t="s">
        <v>132</v>
      </c>
      <c r="K1600" s="5" t="s">
        <v>119</v>
      </c>
      <c r="L1600" s="6" t="str">
        <f t="shared" si="417"/>
        <v>2T3</v>
      </c>
      <c r="M1600" s="13" t="s">
        <v>730</v>
      </c>
      <c r="N1600" s="7" t="s">
        <v>4445</v>
      </c>
      <c r="O1600" s="13" t="s">
        <v>4446</v>
      </c>
      <c r="P1600" s="115"/>
      <c r="Q1600" s="8"/>
      <c r="R1600" s="2">
        <v>1</v>
      </c>
      <c r="S1600" s="9">
        <v>1000</v>
      </c>
      <c r="T1600" s="10">
        <f t="shared" si="408"/>
        <v>500</v>
      </c>
      <c r="U1600" s="9">
        <v>30</v>
      </c>
      <c r="V1600" s="10">
        <f t="shared" si="409"/>
        <v>470</v>
      </c>
      <c r="W1600" s="4" t="s">
        <v>122</v>
      </c>
      <c r="X1600" s="2"/>
      <c r="Y1600" s="11">
        <v>6</v>
      </c>
      <c r="Z1600" s="12">
        <f t="shared" si="410"/>
        <v>35</v>
      </c>
      <c r="AA1600" s="4" t="s">
        <v>27</v>
      </c>
      <c r="AC1600" s="176">
        <f t="shared" si="412"/>
        <v>2.7272727272727271E-2</v>
      </c>
    </row>
    <row r="1601" spans="2:29">
      <c r="B1601" s="183">
        <f t="shared" si="391"/>
        <v>47</v>
      </c>
      <c r="C1601" s="107" t="str">
        <f t="shared" si="392"/>
        <v>ATK</v>
      </c>
      <c r="D1601" s="2" t="s">
        <v>664</v>
      </c>
      <c r="E1601" s="3">
        <v>44123</v>
      </c>
      <c r="F1601" s="3">
        <v>44154</v>
      </c>
      <c r="G1601" s="108">
        <f t="shared" si="393"/>
        <v>11</v>
      </c>
      <c r="H1601" s="108" t="str">
        <f t="shared" si="394"/>
        <v>완료</v>
      </c>
      <c r="I1601" s="112" t="s">
        <v>218</v>
      </c>
      <c r="J1601" s="4" t="s">
        <v>127</v>
      </c>
      <c r="K1601" s="5" t="s">
        <v>135</v>
      </c>
      <c r="L1601" s="6" t="str">
        <f t="shared" si="417"/>
        <v>1T3</v>
      </c>
      <c r="M1601" s="13" t="s">
        <v>256</v>
      </c>
      <c r="N1601" s="7" t="s">
        <v>3529</v>
      </c>
      <c r="O1601" s="13" t="s">
        <v>602</v>
      </c>
      <c r="P1601" s="115" t="s">
        <v>129</v>
      </c>
      <c r="Q1601" s="8"/>
      <c r="R1601" s="2">
        <v>1</v>
      </c>
      <c r="S1601" s="9">
        <v>4500</v>
      </c>
      <c r="T1601" s="10">
        <f t="shared" si="408"/>
        <v>2250</v>
      </c>
      <c r="U1601" s="9">
        <v>10</v>
      </c>
      <c r="V1601" s="10">
        <f t="shared" si="409"/>
        <v>2240</v>
      </c>
      <c r="W1601" s="4" t="s">
        <v>122</v>
      </c>
      <c r="X1601" s="2"/>
      <c r="Y1601" s="11">
        <v>8</v>
      </c>
      <c r="Z1601" s="12">
        <f t="shared" si="410"/>
        <v>31</v>
      </c>
      <c r="AA1601" s="4" t="s">
        <v>553</v>
      </c>
      <c r="AC1601" s="176">
        <f t="shared" si="412"/>
        <v>9.0909090909090905E-3</v>
      </c>
    </row>
    <row r="1602" spans="2:29">
      <c r="B1602" s="183">
        <f t="shared" ref="B1602:B1664" si="418">IF(F1602&gt;0,IFERROR(WEEKNUM(F1602),""),"")</f>
        <v>47</v>
      </c>
      <c r="C1602" s="107" t="str">
        <f t="shared" ref="C1602:C1664" si="419">IF(D1602=0,"",(IF(LEFT(D1602,3)="ATK","ATK",IF(LEFT(D1602,2)="AT",D1602,"ATK"))))</f>
        <v>ATK</v>
      </c>
      <c r="D1602" s="2" t="s">
        <v>455</v>
      </c>
      <c r="E1602" s="3">
        <v>44116</v>
      </c>
      <c r="F1602" s="3">
        <v>44151</v>
      </c>
      <c r="G1602" s="108">
        <f t="shared" ref="G1602:G1664" si="420">IF(F1602&gt;0,MONTH(F1602),"")</f>
        <v>11</v>
      </c>
      <c r="H1602" s="108" t="str">
        <f t="shared" ref="H1602:H1664" si="421">IF(I1602=0,"",IF(RIGHT(I1602,2)="완료","완료",IF(RIGHT(I1602,2)="불가","수리불가",IF(RIGHT(I1602,1)="중","수리중","Other"))))</f>
        <v>완료</v>
      </c>
      <c r="I1602" s="112" t="s">
        <v>218</v>
      </c>
      <c r="J1602" s="4" t="s">
        <v>132</v>
      </c>
      <c r="K1602" s="5" t="s">
        <v>119</v>
      </c>
      <c r="L1602" s="6" t="str">
        <f t="shared" ref="L1602:L1622" si="422">LEFT(K1602,3)</f>
        <v>2T3</v>
      </c>
      <c r="M1602" s="13" t="s">
        <v>730</v>
      </c>
      <c r="N1602" s="7" t="s">
        <v>4445</v>
      </c>
      <c r="O1602" s="13" t="s">
        <v>4446</v>
      </c>
      <c r="P1602" s="115"/>
      <c r="Q1602" s="8"/>
      <c r="R1602" s="2">
        <v>1</v>
      </c>
      <c r="S1602" s="9">
        <v>1000</v>
      </c>
      <c r="T1602" s="10">
        <f t="shared" ref="T1602:T1622" si="423">(S1602*50)/100*R1602</f>
        <v>500</v>
      </c>
      <c r="U1602" s="9">
        <v>30</v>
      </c>
      <c r="V1602" s="10">
        <f t="shared" ref="V1602:V1622" si="424">T1602-U1602</f>
        <v>470</v>
      </c>
      <c r="W1602" s="4" t="s">
        <v>122</v>
      </c>
      <c r="X1602" s="2"/>
      <c r="Y1602" s="11">
        <v>5</v>
      </c>
      <c r="Z1602" s="12">
        <f t="shared" ref="Z1602:Z1622" si="425">F1602-E1602</f>
        <v>35</v>
      </c>
      <c r="AA1602" s="4" t="s">
        <v>27</v>
      </c>
      <c r="AC1602" s="176">
        <f t="shared" si="412"/>
        <v>2.7272727272727271E-2</v>
      </c>
    </row>
    <row r="1603" spans="2:29">
      <c r="B1603" s="183">
        <f t="shared" si="418"/>
        <v>47</v>
      </c>
      <c r="C1603" s="107" t="str">
        <f t="shared" si="419"/>
        <v>ATK</v>
      </c>
      <c r="D1603" s="2" t="s">
        <v>3998</v>
      </c>
      <c r="E1603" s="3">
        <v>44147</v>
      </c>
      <c r="F1603" s="3">
        <v>44152</v>
      </c>
      <c r="G1603" s="108">
        <f t="shared" si="420"/>
        <v>11</v>
      </c>
      <c r="H1603" s="108" t="str">
        <f t="shared" si="421"/>
        <v>완료</v>
      </c>
      <c r="I1603" s="112" t="s">
        <v>218</v>
      </c>
      <c r="J1603" s="4" t="s">
        <v>132</v>
      </c>
      <c r="K1603" s="5" t="s">
        <v>143</v>
      </c>
      <c r="L1603" s="6" t="str">
        <f t="shared" si="422"/>
        <v>3T4</v>
      </c>
      <c r="M1603" s="13" t="s">
        <v>216</v>
      </c>
      <c r="N1603" s="7" t="s">
        <v>5166</v>
      </c>
      <c r="O1603" s="13" t="s">
        <v>1741</v>
      </c>
      <c r="P1603" s="115" t="s">
        <v>5167</v>
      </c>
      <c r="Q1603" s="8"/>
      <c r="R1603" s="2">
        <v>2</v>
      </c>
      <c r="S1603" s="9">
        <v>1000</v>
      </c>
      <c r="T1603" s="10">
        <f t="shared" si="423"/>
        <v>1000</v>
      </c>
      <c r="U1603" s="9">
        <v>30</v>
      </c>
      <c r="V1603" s="10">
        <f t="shared" si="424"/>
        <v>970</v>
      </c>
      <c r="W1603" s="4" t="s">
        <v>122</v>
      </c>
      <c r="X1603" s="2"/>
      <c r="Y1603" s="11">
        <v>8</v>
      </c>
      <c r="Z1603" s="12">
        <f t="shared" si="425"/>
        <v>5</v>
      </c>
      <c r="AA1603" s="4" t="s">
        <v>27</v>
      </c>
      <c r="AC1603" s="176">
        <f t="shared" si="412"/>
        <v>2.7272727272727271E-2</v>
      </c>
    </row>
    <row r="1604" spans="2:29">
      <c r="B1604" s="183">
        <f t="shared" si="418"/>
        <v>47</v>
      </c>
      <c r="C1604" s="107" t="str">
        <f t="shared" si="419"/>
        <v>ATK</v>
      </c>
      <c r="D1604" s="2" t="s">
        <v>250</v>
      </c>
      <c r="E1604" s="3">
        <v>44152</v>
      </c>
      <c r="F1604" s="3">
        <v>44152</v>
      </c>
      <c r="G1604" s="108">
        <f t="shared" si="420"/>
        <v>11</v>
      </c>
      <c r="H1604" s="108" t="str">
        <f t="shared" si="421"/>
        <v>Other</v>
      </c>
      <c r="I1604" s="112" t="s">
        <v>251</v>
      </c>
      <c r="J1604" s="4" t="s">
        <v>251</v>
      </c>
      <c r="K1604" s="4" t="s">
        <v>251</v>
      </c>
      <c r="L1604" s="6" t="str">
        <f t="shared" si="422"/>
        <v>Oth</v>
      </c>
      <c r="M1604" s="13" t="s">
        <v>5168</v>
      </c>
      <c r="N1604" s="7" t="s">
        <v>5002</v>
      </c>
      <c r="O1604" s="13" t="s">
        <v>5169</v>
      </c>
      <c r="P1604" s="115" t="s">
        <v>5170</v>
      </c>
      <c r="Q1604" s="8"/>
      <c r="R1604" s="2">
        <v>1</v>
      </c>
      <c r="S1604" s="9">
        <v>0</v>
      </c>
      <c r="T1604" s="10">
        <f t="shared" si="423"/>
        <v>0</v>
      </c>
      <c r="U1604" s="9">
        <v>0</v>
      </c>
      <c r="V1604" s="10">
        <f t="shared" si="424"/>
        <v>0</v>
      </c>
      <c r="W1604" s="4" t="s">
        <v>122</v>
      </c>
      <c r="X1604" s="2"/>
      <c r="Y1604" s="11">
        <v>3</v>
      </c>
      <c r="Z1604" s="12">
        <f t="shared" si="425"/>
        <v>0</v>
      </c>
      <c r="AA1604" s="4" t="s">
        <v>30</v>
      </c>
      <c r="AC1604" s="176">
        <f t="shared" si="412"/>
        <v>0</v>
      </c>
    </row>
    <row r="1605" spans="2:29">
      <c r="B1605" s="183">
        <f t="shared" si="418"/>
        <v>47</v>
      </c>
      <c r="C1605" s="107" t="str">
        <f t="shared" si="419"/>
        <v>ATK</v>
      </c>
      <c r="D1605" s="2" t="s">
        <v>250</v>
      </c>
      <c r="E1605" s="3">
        <v>44152</v>
      </c>
      <c r="F1605" s="3">
        <v>44152</v>
      </c>
      <c r="G1605" s="108">
        <f t="shared" si="420"/>
        <v>11</v>
      </c>
      <c r="H1605" s="108" t="str">
        <f t="shared" si="421"/>
        <v>Other</v>
      </c>
      <c r="I1605" s="112" t="s">
        <v>251</v>
      </c>
      <c r="J1605" s="4" t="s">
        <v>251</v>
      </c>
      <c r="K1605" s="4" t="s">
        <v>251</v>
      </c>
      <c r="L1605" s="6" t="str">
        <f t="shared" si="422"/>
        <v>Oth</v>
      </c>
      <c r="M1605" s="13" t="s">
        <v>5168</v>
      </c>
      <c r="N1605" s="7" t="s">
        <v>5002</v>
      </c>
      <c r="O1605" s="13" t="s">
        <v>5169</v>
      </c>
      <c r="P1605" s="115" t="s">
        <v>5170</v>
      </c>
      <c r="Q1605" s="8"/>
      <c r="R1605" s="2">
        <v>1</v>
      </c>
      <c r="S1605" s="9">
        <v>0</v>
      </c>
      <c r="T1605" s="10">
        <f t="shared" si="423"/>
        <v>0</v>
      </c>
      <c r="U1605" s="9">
        <v>0</v>
      </c>
      <c r="V1605" s="10">
        <f t="shared" si="424"/>
        <v>0</v>
      </c>
      <c r="W1605" s="4" t="s">
        <v>122</v>
      </c>
      <c r="X1605" s="2"/>
      <c r="Y1605" s="11">
        <v>3</v>
      </c>
      <c r="Z1605" s="12">
        <f t="shared" si="425"/>
        <v>0</v>
      </c>
      <c r="AA1605" s="4" t="s">
        <v>27</v>
      </c>
      <c r="AC1605" s="176">
        <f t="shared" si="412"/>
        <v>0</v>
      </c>
    </row>
    <row r="1606" spans="2:29">
      <c r="B1606" s="183">
        <f t="shared" si="418"/>
        <v>47</v>
      </c>
      <c r="C1606" s="107" t="str">
        <f t="shared" si="419"/>
        <v>ATK</v>
      </c>
      <c r="D1606" s="2" t="s">
        <v>664</v>
      </c>
      <c r="E1606" s="3">
        <v>44152</v>
      </c>
      <c r="F1606" s="3">
        <v>44152</v>
      </c>
      <c r="G1606" s="108">
        <f t="shared" si="420"/>
        <v>11</v>
      </c>
      <c r="H1606" s="108" t="str">
        <f t="shared" si="421"/>
        <v>완료</v>
      </c>
      <c r="I1606" s="112" t="s">
        <v>218</v>
      </c>
      <c r="J1606" s="4" t="s">
        <v>127</v>
      </c>
      <c r="K1606" s="5" t="s">
        <v>135</v>
      </c>
      <c r="L1606" s="6" t="str">
        <f t="shared" si="422"/>
        <v>1T3</v>
      </c>
      <c r="M1606" s="13" t="s">
        <v>4536</v>
      </c>
      <c r="N1606" s="7" t="s">
        <v>5041</v>
      </c>
      <c r="O1606" s="13" t="s">
        <v>5171</v>
      </c>
      <c r="P1606" s="115"/>
      <c r="Q1606" s="8"/>
      <c r="R1606" s="2">
        <v>1</v>
      </c>
      <c r="S1606" s="9">
        <v>600</v>
      </c>
      <c r="T1606" s="10">
        <f t="shared" si="423"/>
        <v>300</v>
      </c>
      <c r="U1606" s="9">
        <v>1</v>
      </c>
      <c r="V1606" s="10">
        <f t="shared" si="424"/>
        <v>299</v>
      </c>
      <c r="W1606" s="4" t="s">
        <v>122</v>
      </c>
      <c r="X1606" s="2"/>
      <c r="Y1606" s="11">
        <v>2</v>
      </c>
      <c r="Z1606" s="12">
        <f t="shared" si="425"/>
        <v>0</v>
      </c>
      <c r="AA1606" s="4" t="s">
        <v>117</v>
      </c>
      <c r="AC1606" s="176">
        <f t="shared" si="412"/>
        <v>9.0909090909090909E-4</v>
      </c>
    </row>
    <row r="1607" spans="2:29">
      <c r="B1607" s="183">
        <f t="shared" si="418"/>
        <v>47</v>
      </c>
      <c r="C1607" s="107" t="str">
        <f t="shared" si="419"/>
        <v>ATK</v>
      </c>
      <c r="D1607" s="2" t="s">
        <v>5172</v>
      </c>
      <c r="E1607" s="3">
        <v>44151</v>
      </c>
      <c r="F1607" s="3">
        <v>44152</v>
      </c>
      <c r="G1607" s="108">
        <f t="shared" si="420"/>
        <v>11</v>
      </c>
      <c r="H1607" s="108" t="str">
        <f t="shared" si="421"/>
        <v>완료</v>
      </c>
      <c r="I1607" s="112" t="s">
        <v>264</v>
      </c>
      <c r="J1607" s="4" t="s">
        <v>251</v>
      </c>
      <c r="K1607" s="5" t="s">
        <v>31</v>
      </c>
      <c r="L1607" s="6" t="str">
        <f t="shared" si="422"/>
        <v>Oth</v>
      </c>
      <c r="M1607" s="13" t="s">
        <v>2910</v>
      </c>
      <c r="N1607" s="7" t="s">
        <v>5173</v>
      </c>
      <c r="O1607" s="13" t="s">
        <v>5174</v>
      </c>
      <c r="P1607" s="115" t="s">
        <v>838</v>
      </c>
      <c r="Q1607" s="8"/>
      <c r="R1607" s="2">
        <v>1</v>
      </c>
      <c r="S1607" s="9">
        <v>0</v>
      </c>
      <c r="T1607" s="10">
        <f t="shared" si="423"/>
        <v>0</v>
      </c>
      <c r="U1607" s="9">
        <v>0</v>
      </c>
      <c r="V1607" s="10">
        <f t="shared" si="424"/>
        <v>0</v>
      </c>
      <c r="W1607" s="4" t="s">
        <v>249</v>
      </c>
      <c r="X1607" s="2"/>
      <c r="Y1607" s="11">
        <v>4</v>
      </c>
      <c r="Z1607" s="12">
        <f t="shared" si="425"/>
        <v>1</v>
      </c>
      <c r="AA1607" s="4" t="s">
        <v>553</v>
      </c>
      <c r="AC1607" s="176">
        <f t="shared" si="412"/>
        <v>0</v>
      </c>
    </row>
    <row r="1608" spans="2:29">
      <c r="B1608" s="183">
        <f t="shared" si="418"/>
        <v>47</v>
      </c>
      <c r="C1608" s="107" t="str">
        <f t="shared" si="419"/>
        <v>ATK</v>
      </c>
      <c r="D1608" s="2" t="s">
        <v>3197</v>
      </c>
      <c r="E1608" s="3">
        <v>44151</v>
      </c>
      <c r="F1608" s="3">
        <v>44152</v>
      </c>
      <c r="G1608" s="108">
        <f t="shared" si="420"/>
        <v>11</v>
      </c>
      <c r="H1608" s="108" t="str">
        <f t="shared" si="421"/>
        <v>완료</v>
      </c>
      <c r="I1608" s="112" t="s">
        <v>264</v>
      </c>
      <c r="J1608" s="4" t="s">
        <v>481</v>
      </c>
      <c r="K1608" s="5" t="s">
        <v>695</v>
      </c>
      <c r="L1608" s="6" t="str">
        <f t="shared" si="422"/>
        <v>2T2</v>
      </c>
      <c r="M1608" s="13" t="s">
        <v>4536</v>
      </c>
      <c r="N1608" s="7" t="s">
        <v>4038</v>
      </c>
      <c r="O1608" s="13" t="s">
        <v>985</v>
      </c>
      <c r="P1608" s="115" t="s">
        <v>1617</v>
      </c>
      <c r="Q1608" s="8"/>
      <c r="R1608" s="2">
        <v>2</v>
      </c>
      <c r="S1608" s="9">
        <v>500</v>
      </c>
      <c r="T1608" s="10">
        <f t="shared" si="423"/>
        <v>500</v>
      </c>
      <c r="U1608" s="9">
        <v>80</v>
      </c>
      <c r="V1608" s="10">
        <f t="shared" si="424"/>
        <v>420</v>
      </c>
      <c r="W1608" s="4" t="s">
        <v>249</v>
      </c>
      <c r="X1608" s="2"/>
      <c r="Y1608" s="11">
        <v>1</v>
      </c>
      <c r="Z1608" s="12">
        <f t="shared" si="425"/>
        <v>1</v>
      </c>
      <c r="AA1608" s="4" t="s">
        <v>27</v>
      </c>
      <c r="AC1608" s="176">
        <f t="shared" si="412"/>
        <v>7.2727272727272724E-2</v>
      </c>
    </row>
    <row r="1609" spans="2:29">
      <c r="B1609" s="183">
        <f t="shared" si="418"/>
        <v>47</v>
      </c>
      <c r="C1609" s="107" t="str">
        <f t="shared" si="419"/>
        <v>ATK</v>
      </c>
      <c r="D1609" s="2" t="s">
        <v>5074</v>
      </c>
      <c r="E1609" s="3">
        <v>44152</v>
      </c>
      <c r="F1609" s="3">
        <v>44152</v>
      </c>
      <c r="G1609" s="108">
        <f t="shared" si="420"/>
        <v>11</v>
      </c>
      <c r="H1609" s="108" t="str">
        <f t="shared" si="421"/>
        <v>완료</v>
      </c>
      <c r="I1609" s="112" t="s">
        <v>218</v>
      </c>
      <c r="J1609" s="4" t="s">
        <v>127</v>
      </c>
      <c r="K1609" s="5" t="s">
        <v>131</v>
      </c>
      <c r="L1609" s="6" t="str">
        <f t="shared" si="422"/>
        <v>1T4</v>
      </c>
      <c r="M1609" s="13" t="s">
        <v>1894</v>
      </c>
      <c r="N1609" s="7" t="s">
        <v>5181</v>
      </c>
      <c r="O1609" s="7" t="s">
        <v>5181</v>
      </c>
      <c r="P1609" s="115" t="s">
        <v>5182</v>
      </c>
      <c r="Q1609" s="8"/>
      <c r="R1609" s="2">
        <v>3</v>
      </c>
      <c r="S1609" s="9">
        <v>1000</v>
      </c>
      <c r="T1609" s="10">
        <f t="shared" si="423"/>
        <v>1500</v>
      </c>
      <c r="U1609" s="9">
        <v>50</v>
      </c>
      <c r="V1609" s="10">
        <f t="shared" si="424"/>
        <v>1450</v>
      </c>
      <c r="W1609" s="4" t="s">
        <v>122</v>
      </c>
      <c r="X1609" s="2"/>
      <c r="Y1609" s="11">
        <v>3</v>
      </c>
      <c r="Z1609" s="12">
        <f t="shared" si="425"/>
        <v>0</v>
      </c>
      <c r="AA1609" s="4" t="s">
        <v>212</v>
      </c>
      <c r="AC1609" s="176">
        <f t="shared" si="412"/>
        <v>4.5454545454545456E-2</v>
      </c>
    </row>
    <row r="1610" spans="2:29">
      <c r="B1610" s="183">
        <f t="shared" si="418"/>
        <v>47</v>
      </c>
      <c r="C1610" s="107" t="str">
        <f t="shared" si="419"/>
        <v>ATK</v>
      </c>
      <c r="D1610" s="2" t="s">
        <v>236</v>
      </c>
      <c r="E1610" s="3">
        <v>44152</v>
      </c>
      <c r="F1610" s="3">
        <v>44152</v>
      </c>
      <c r="G1610" s="108">
        <f t="shared" si="420"/>
        <v>11</v>
      </c>
      <c r="H1610" s="108" t="str">
        <f t="shared" si="421"/>
        <v>완료</v>
      </c>
      <c r="I1610" s="112" t="s">
        <v>218</v>
      </c>
      <c r="J1610" s="4" t="s">
        <v>118</v>
      </c>
      <c r="K1610" s="5" t="s">
        <v>119</v>
      </c>
      <c r="L1610" s="6" t="str">
        <f t="shared" si="422"/>
        <v>2T3</v>
      </c>
      <c r="M1610" s="13" t="s">
        <v>305</v>
      </c>
      <c r="N1610" s="7" t="s">
        <v>5186</v>
      </c>
      <c r="O1610" s="13" t="s">
        <v>543</v>
      </c>
      <c r="P1610" s="115" t="s">
        <v>5183</v>
      </c>
      <c r="Q1610" s="8"/>
      <c r="R1610" s="2">
        <v>1</v>
      </c>
      <c r="S1610" s="9">
        <v>890</v>
      </c>
      <c r="T1610" s="10">
        <f t="shared" si="423"/>
        <v>445</v>
      </c>
      <c r="U1610" s="9">
        <v>2</v>
      </c>
      <c r="V1610" s="10">
        <f t="shared" si="424"/>
        <v>443</v>
      </c>
      <c r="W1610" s="4" t="s">
        <v>122</v>
      </c>
      <c r="X1610" s="2"/>
      <c r="Y1610" s="11">
        <v>4</v>
      </c>
      <c r="Z1610" s="12">
        <f t="shared" si="425"/>
        <v>0</v>
      </c>
      <c r="AA1610" s="4" t="s">
        <v>120</v>
      </c>
      <c r="AC1610" s="176">
        <f t="shared" si="412"/>
        <v>1.8181818181818182E-3</v>
      </c>
    </row>
    <row r="1611" spans="2:29" ht="24">
      <c r="B1611" s="183">
        <f t="shared" si="418"/>
        <v>47</v>
      </c>
      <c r="C1611" s="107" t="str">
        <f t="shared" si="419"/>
        <v>ATK</v>
      </c>
      <c r="D1611" s="2" t="s">
        <v>335</v>
      </c>
      <c r="E1611" s="3">
        <v>44152</v>
      </c>
      <c r="F1611" s="3">
        <v>44153</v>
      </c>
      <c r="G1611" s="108">
        <f t="shared" si="420"/>
        <v>11</v>
      </c>
      <c r="H1611" s="108" t="str">
        <f t="shared" si="421"/>
        <v>완료</v>
      </c>
      <c r="I1611" s="112" t="s">
        <v>218</v>
      </c>
      <c r="J1611" s="4" t="s">
        <v>132</v>
      </c>
      <c r="K1611" s="5" t="s">
        <v>143</v>
      </c>
      <c r="L1611" s="6" t="str">
        <f t="shared" si="422"/>
        <v>3T4</v>
      </c>
      <c r="M1611" s="13" t="s">
        <v>216</v>
      </c>
      <c r="N1611" s="7" t="s">
        <v>3995</v>
      </c>
      <c r="O1611" s="13" t="s">
        <v>367</v>
      </c>
      <c r="P1611" s="115" t="s">
        <v>5185</v>
      </c>
      <c r="Q1611" s="8" t="s">
        <v>5184</v>
      </c>
      <c r="R1611" s="2">
        <v>1</v>
      </c>
      <c r="S1611" s="9">
        <v>900</v>
      </c>
      <c r="T1611" s="10">
        <f t="shared" si="423"/>
        <v>450</v>
      </c>
      <c r="U1611" s="9">
        <v>2</v>
      </c>
      <c r="V1611" s="10">
        <f t="shared" si="424"/>
        <v>448</v>
      </c>
      <c r="W1611" s="4" t="s">
        <v>122</v>
      </c>
      <c r="X1611" s="2"/>
      <c r="Y1611" s="11">
        <v>6</v>
      </c>
      <c r="Z1611" s="12">
        <f t="shared" si="425"/>
        <v>1</v>
      </c>
      <c r="AA1611" s="4" t="s">
        <v>120</v>
      </c>
      <c r="AC1611" s="176">
        <f t="shared" si="412"/>
        <v>1.8181818181818182E-3</v>
      </c>
    </row>
    <row r="1612" spans="2:29">
      <c r="B1612" s="183">
        <f t="shared" si="418"/>
        <v>47</v>
      </c>
      <c r="C1612" s="107" t="str">
        <f t="shared" si="419"/>
        <v>ATK</v>
      </c>
      <c r="D1612" s="2" t="s">
        <v>217</v>
      </c>
      <c r="E1612" s="3">
        <v>44153</v>
      </c>
      <c r="F1612" s="3">
        <v>44153</v>
      </c>
      <c r="G1612" s="108">
        <f t="shared" si="420"/>
        <v>11</v>
      </c>
      <c r="H1612" s="108" t="str">
        <f t="shared" si="421"/>
        <v>완료</v>
      </c>
      <c r="I1612" s="112" t="s">
        <v>218</v>
      </c>
      <c r="J1612" s="4" t="s">
        <v>127</v>
      </c>
      <c r="K1612" s="5" t="s">
        <v>131</v>
      </c>
      <c r="L1612" s="6" t="str">
        <f t="shared" si="422"/>
        <v>1T4</v>
      </c>
      <c r="M1612" s="13" t="s">
        <v>994</v>
      </c>
      <c r="N1612" s="7" t="s">
        <v>3546</v>
      </c>
      <c r="O1612" s="13" t="s">
        <v>1032</v>
      </c>
      <c r="P1612" s="115"/>
      <c r="Q1612" s="8"/>
      <c r="R1612" s="2">
        <v>2</v>
      </c>
      <c r="S1612" s="9">
        <v>400</v>
      </c>
      <c r="T1612" s="10">
        <f t="shared" si="423"/>
        <v>400</v>
      </c>
      <c r="U1612" s="9">
        <v>12</v>
      </c>
      <c r="V1612" s="10">
        <f t="shared" si="424"/>
        <v>388</v>
      </c>
      <c r="W1612" s="4" t="s">
        <v>122</v>
      </c>
      <c r="X1612" s="2"/>
      <c r="Y1612" s="11">
        <v>2</v>
      </c>
      <c r="Z1612" s="12">
        <f t="shared" si="425"/>
        <v>0</v>
      </c>
      <c r="AA1612" s="4" t="s">
        <v>117</v>
      </c>
      <c r="AC1612" s="176">
        <f t="shared" si="412"/>
        <v>1.090909090909091E-2</v>
      </c>
    </row>
    <row r="1613" spans="2:29">
      <c r="B1613" s="183">
        <f t="shared" si="418"/>
        <v>48</v>
      </c>
      <c r="C1613" s="107" t="str">
        <f t="shared" si="419"/>
        <v>ATK</v>
      </c>
      <c r="D1613" s="2" t="s">
        <v>2275</v>
      </c>
      <c r="E1613" s="3">
        <v>44153</v>
      </c>
      <c r="F1613" s="3">
        <v>44158</v>
      </c>
      <c r="G1613" s="108">
        <f t="shared" si="420"/>
        <v>11</v>
      </c>
      <c r="H1613" s="108" t="str">
        <f t="shared" si="421"/>
        <v>수리불가</v>
      </c>
      <c r="I1613" s="112" t="s">
        <v>601</v>
      </c>
      <c r="J1613" s="4" t="s">
        <v>243</v>
      </c>
      <c r="K1613" s="5" t="s">
        <v>243</v>
      </c>
      <c r="L1613" s="6" t="str">
        <f t="shared" si="422"/>
        <v>K5</v>
      </c>
      <c r="M1613" s="13" t="s">
        <v>4127</v>
      </c>
      <c r="N1613" s="7"/>
      <c r="O1613" s="13" t="s">
        <v>5187</v>
      </c>
      <c r="P1613" s="115" t="s">
        <v>5188</v>
      </c>
      <c r="Q1613" s="8"/>
      <c r="R1613" s="2">
        <v>2</v>
      </c>
      <c r="S1613" s="9">
        <v>3000</v>
      </c>
      <c r="T1613" s="10">
        <f t="shared" si="423"/>
        <v>3000</v>
      </c>
      <c r="U1613" s="9">
        <v>0</v>
      </c>
      <c r="V1613" s="10">
        <f t="shared" si="424"/>
        <v>3000</v>
      </c>
      <c r="W1613" s="4" t="s">
        <v>122</v>
      </c>
      <c r="X1613" s="2"/>
      <c r="Y1613" s="11">
        <v>2</v>
      </c>
      <c r="Z1613" s="12">
        <f t="shared" si="425"/>
        <v>5</v>
      </c>
      <c r="AA1613" s="4" t="s">
        <v>117</v>
      </c>
      <c r="AC1613" s="176">
        <f t="shared" si="412"/>
        <v>0</v>
      </c>
    </row>
    <row r="1614" spans="2:29">
      <c r="B1614" s="183">
        <f t="shared" si="418"/>
        <v>48</v>
      </c>
      <c r="C1614" s="107" t="str">
        <f t="shared" si="419"/>
        <v>ATK</v>
      </c>
      <c r="D1614" s="2" t="s">
        <v>2275</v>
      </c>
      <c r="E1614" s="3">
        <v>44153</v>
      </c>
      <c r="F1614" s="3">
        <v>44158</v>
      </c>
      <c r="G1614" s="108">
        <f t="shared" si="420"/>
        <v>11</v>
      </c>
      <c r="H1614" s="108" t="str">
        <f t="shared" si="421"/>
        <v>수리불가</v>
      </c>
      <c r="I1614" s="112" t="s">
        <v>601</v>
      </c>
      <c r="J1614" s="4" t="s">
        <v>243</v>
      </c>
      <c r="K1614" s="5" t="s">
        <v>243</v>
      </c>
      <c r="L1614" s="6" t="str">
        <f t="shared" si="422"/>
        <v>K5</v>
      </c>
      <c r="M1614" s="13" t="s">
        <v>4127</v>
      </c>
      <c r="N1614" s="7"/>
      <c r="O1614" s="13" t="s">
        <v>5189</v>
      </c>
      <c r="P1614" s="115" t="s">
        <v>5190</v>
      </c>
      <c r="Q1614" s="8"/>
      <c r="R1614" s="2">
        <v>1</v>
      </c>
      <c r="S1614" s="9">
        <v>2200</v>
      </c>
      <c r="T1614" s="10">
        <f t="shared" si="423"/>
        <v>1100</v>
      </c>
      <c r="U1614" s="9">
        <v>0</v>
      </c>
      <c r="V1614" s="10">
        <f t="shared" si="424"/>
        <v>1100</v>
      </c>
      <c r="W1614" s="4" t="s">
        <v>122</v>
      </c>
      <c r="X1614" s="2"/>
      <c r="Y1614" s="11">
        <v>2</v>
      </c>
      <c r="Z1614" s="12">
        <f t="shared" si="425"/>
        <v>5</v>
      </c>
      <c r="AA1614" s="4" t="s">
        <v>117</v>
      </c>
      <c r="AC1614" s="176">
        <f t="shared" si="412"/>
        <v>0</v>
      </c>
    </row>
    <row r="1615" spans="2:29">
      <c r="B1615" s="183">
        <f t="shared" si="418"/>
        <v>47</v>
      </c>
      <c r="C1615" s="107" t="str">
        <f t="shared" si="419"/>
        <v>ATK</v>
      </c>
      <c r="D1615" s="2" t="s">
        <v>3293</v>
      </c>
      <c r="E1615" s="3">
        <v>44154</v>
      </c>
      <c r="F1615" s="3">
        <v>44154</v>
      </c>
      <c r="G1615" s="108">
        <f t="shared" si="420"/>
        <v>11</v>
      </c>
      <c r="H1615" s="108" t="str">
        <f t="shared" si="421"/>
        <v>Other</v>
      </c>
      <c r="I1615" s="112" t="s">
        <v>31</v>
      </c>
      <c r="J1615" s="4" t="s">
        <v>31</v>
      </c>
      <c r="K1615" s="5" t="s">
        <v>31</v>
      </c>
      <c r="L1615" s="6" t="str">
        <f t="shared" si="422"/>
        <v>Oth</v>
      </c>
      <c r="M1615" s="13" t="s">
        <v>3293</v>
      </c>
      <c r="N1615" s="7" t="s">
        <v>5191</v>
      </c>
      <c r="O1615" s="13" t="s">
        <v>226</v>
      </c>
      <c r="P1615" s="115" t="s">
        <v>5222</v>
      </c>
      <c r="Q1615" s="8"/>
      <c r="R1615" s="2">
        <v>1</v>
      </c>
      <c r="S1615" s="9">
        <v>0</v>
      </c>
      <c r="T1615" s="10">
        <f t="shared" si="423"/>
        <v>0</v>
      </c>
      <c r="U1615" s="9">
        <v>0</v>
      </c>
      <c r="V1615" s="10">
        <f t="shared" si="424"/>
        <v>0</v>
      </c>
      <c r="W1615" s="4" t="s">
        <v>249</v>
      </c>
      <c r="X1615" s="2"/>
      <c r="Y1615" s="11">
        <v>1</v>
      </c>
      <c r="Z1615" s="12">
        <f t="shared" si="425"/>
        <v>0</v>
      </c>
      <c r="AA1615" s="4" t="s">
        <v>553</v>
      </c>
      <c r="AC1615" s="176">
        <f t="shared" si="412"/>
        <v>0</v>
      </c>
    </row>
    <row r="1616" spans="2:29">
      <c r="B1616" s="183">
        <f t="shared" si="418"/>
        <v>47</v>
      </c>
      <c r="C1616" s="107" t="str">
        <f t="shared" si="419"/>
        <v>ATK</v>
      </c>
      <c r="D1616" s="2" t="s">
        <v>3293</v>
      </c>
      <c r="E1616" s="3">
        <v>44154</v>
      </c>
      <c r="F1616" s="3">
        <v>44154</v>
      </c>
      <c r="G1616" s="108">
        <f t="shared" si="420"/>
        <v>11</v>
      </c>
      <c r="H1616" s="108" t="str">
        <f t="shared" si="421"/>
        <v>Other</v>
      </c>
      <c r="I1616" s="112" t="s">
        <v>251</v>
      </c>
      <c r="J1616" s="4" t="s">
        <v>31</v>
      </c>
      <c r="K1616" s="5" t="s">
        <v>31</v>
      </c>
      <c r="L1616" s="6" t="str">
        <f t="shared" si="422"/>
        <v>Oth</v>
      </c>
      <c r="M1616" s="13" t="s">
        <v>3293</v>
      </c>
      <c r="N1616" s="7" t="s">
        <v>5191</v>
      </c>
      <c r="O1616" s="13" t="s">
        <v>226</v>
      </c>
      <c r="P1616" s="115" t="s">
        <v>5222</v>
      </c>
      <c r="Q1616" s="8"/>
      <c r="R1616" s="2">
        <v>1</v>
      </c>
      <c r="S1616" s="9">
        <v>0</v>
      </c>
      <c r="T1616" s="10">
        <f t="shared" si="423"/>
        <v>0</v>
      </c>
      <c r="U1616" s="9">
        <v>0</v>
      </c>
      <c r="V1616" s="10">
        <f t="shared" si="424"/>
        <v>0</v>
      </c>
      <c r="W1616" s="4" t="s">
        <v>249</v>
      </c>
      <c r="X1616" s="2"/>
      <c r="Y1616" s="11">
        <v>1</v>
      </c>
      <c r="Z1616" s="12">
        <f t="shared" si="425"/>
        <v>0</v>
      </c>
      <c r="AA1616" s="4" t="s">
        <v>30</v>
      </c>
      <c r="AC1616" s="176">
        <f t="shared" si="412"/>
        <v>0</v>
      </c>
    </row>
    <row r="1617" spans="2:29">
      <c r="B1617" s="183">
        <f t="shared" si="418"/>
        <v>47</v>
      </c>
      <c r="C1617" s="107" t="str">
        <f t="shared" si="419"/>
        <v>ATK</v>
      </c>
      <c r="D1617" s="2" t="s">
        <v>5074</v>
      </c>
      <c r="E1617" s="3">
        <v>44154</v>
      </c>
      <c r="F1617" s="3">
        <v>44154</v>
      </c>
      <c r="G1617" s="108">
        <f t="shared" si="420"/>
        <v>11</v>
      </c>
      <c r="H1617" s="108" t="str">
        <f t="shared" si="421"/>
        <v>완료</v>
      </c>
      <c r="I1617" s="112" t="s">
        <v>218</v>
      </c>
      <c r="J1617" s="4" t="s">
        <v>127</v>
      </c>
      <c r="K1617" s="5" t="s">
        <v>131</v>
      </c>
      <c r="L1617" s="6" t="str">
        <f t="shared" si="422"/>
        <v>1T4</v>
      </c>
      <c r="M1617" s="13" t="s">
        <v>4844</v>
      </c>
      <c r="N1617" s="7" t="s">
        <v>4487</v>
      </c>
      <c r="O1617" s="13" t="s">
        <v>4442</v>
      </c>
      <c r="P1617" s="115" t="s">
        <v>5192</v>
      </c>
      <c r="Q1617" s="8"/>
      <c r="R1617" s="2">
        <v>1</v>
      </c>
      <c r="S1617" s="9">
        <v>1000</v>
      </c>
      <c r="T1617" s="10">
        <f t="shared" si="423"/>
        <v>500</v>
      </c>
      <c r="U1617" s="9">
        <v>30</v>
      </c>
      <c r="V1617" s="10">
        <f t="shared" si="424"/>
        <v>470</v>
      </c>
      <c r="W1617" s="4" t="s">
        <v>122</v>
      </c>
      <c r="X1617" s="2"/>
      <c r="Y1617" s="11">
        <v>4</v>
      </c>
      <c r="Z1617" s="12">
        <f t="shared" si="425"/>
        <v>0</v>
      </c>
      <c r="AA1617" s="4" t="s">
        <v>212</v>
      </c>
      <c r="AC1617" s="176">
        <f t="shared" si="412"/>
        <v>2.7272727272727271E-2</v>
      </c>
    </row>
    <row r="1618" spans="2:29" ht="24">
      <c r="B1618" s="183">
        <f t="shared" si="418"/>
        <v>47</v>
      </c>
      <c r="C1618" s="107" t="str">
        <f t="shared" si="419"/>
        <v>ATK</v>
      </c>
      <c r="D1618" s="2" t="s">
        <v>5193</v>
      </c>
      <c r="E1618" s="3">
        <v>44154</v>
      </c>
      <c r="F1618" s="3">
        <v>44154</v>
      </c>
      <c r="G1618" s="108">
        <f t="shared" si="420"/>
        <v>11</v>
      </c>
      <c r="H1618" s="108" t="str">
        <f t="shared" si="421"/>
        <v>완료</v>
      </c>
      <c r="I1618" s="112" t="s">
        <v>218</v>
      </c>
      <c r="J1618" s="4" t="s">
        <v>127</v>
      </c>
      <c r="K1618" s="5" t="s">
        <v>209</v>
      </c>
      <c r="L1618" s="6" t="str">
        <f t="shared" si="422"/>
        <v>1T2</v>
      </c>
      <c r="M1618" s="13" t="s">
        <v>879</v>
      </c>
      <c r="N1618" s="7"/>
      <c r="O1618" s="13" t="s">
        <v>5194</v>
      </c>
      <c r="P1618" s="115" t="s">
        <v>5195</v>
      </c>
      <c r="Q1618" s="8"/>
      <c r="R1618" s="2">
        <v>1</v>
      </c>
      <c r="S1618" s="9">
        <v>160</v>
      </c>
      <c r="T1618" s="10">
        <f t="shared" si="423"/>
        <v>80</v>
      </c>
      <c r="U1618" s="9">
        <v>0</v>
      </c>
      <c r="V1618" s="10">
        <f t="shared" si="424"/>
        <v>80</v>
      </c>
      <c r="W1618" s="4" t="s">
        <v>122</v>
      </c>
      <c r="X1618" s="2"/>
      <c r="Y1618" s="11">
        <v>3</v>
      </c>
      <c r="Z1618" s="12">
        <f t="shared" si="425"/>
        <v>0</v>
      </c>
      <c r="AA1618" s="4" t="s">
        <v>120</v>
      </c>
      <c r="AC1618" s="176">
        <f t="shared" si="412"/>
        <v>0</v>
      </c>
    </row>
    <row r="1619" spans="2:29">
      <c r="B1619" s="183">
        <f t="shared" si="418"/>
        <v>47</v>
      </c>
      <c r="C1619" s="107" t="str">
        <f t="shared" si="419"/>
        <v>ATK</v>
      </c>
      <c r="D1619" s="2" t="s">
        <v>810</v>
      </c>
      <c r="E1619" s="3">
        <v>44154</v>
      </c>
      <c r="F1619" s="3">
        <v>44154</v>
      </c>
      <c r="G1619" s="108">
        <f t="shared" si="420"/>
        <v>11</v>
      </c>
      <c r="H1619" s="108" t="str">
        <f t="shared" si="421"/>
        <v>완료</v>
      </c>
      <c r="I1619" s="112" t="s">
        <v>218</v>
      </c>
      <c r="J1619" s="4" t="s">
        <v>115</v>
      </c>
      <c r="K1619" s="5" t="s">
        <v>116</v>
      </c>
      <c r="L1619" s="6" t="str">
        <f t="shared" si="422"/>
        <v>EE2</v>
      </c>
      <c r="M1619" s="13" t="s">
        <v>813</v>
      </c>
      <c r="N1619" s="7" t="s">
        <v>5196</v>
      </c>
      <c r="O1619" s="13" t="s">
        <v>4902</v>
      </c>
      <c r="P1619" s="115"/>
      <c r="Q1619" s="8"/>
      <c r="R1619" s="2">
        <v>1</v>
      </c>
      <c r="S1619" s="9">
        <v>1600</v>
      </c>
      <c r="T1619" s="10">
        <f t="shared" si="423"/>
        <v>800</v>
      </c>
      <c r="U1619" s="9">
        <v>2</v>
      </c>
      <c r="V1619" s="10">
        <f t="shared" si="424"/>
        <v>798</v>
      </c>
      <c r="W1619" s="4" t="s">
        <v>122</v>
      </c>
      <c r="X1619" s="2"/>
      <c r="Y1619" s="11">
        <v>2</v>
      </c>
      <c r="Z1619" s="12">
        <f t="shared" si="425"/>
        <v>0</v>
      </c>
      <c r="AA1619" s="4" t="s">
        <v>117</v>
      </c>
      <c r="AC1619" s="176">
        <f t="shared" si="412"/>
        <v>1.8181818181818182E-3</v>
      </c>
    </row>
    <row r="1620" spans="2:29">
      <c r="B1620" s="183">
        <f t="shared" si="418"/>
        <v>47</v>
      </c>
      <c r="C1620" s="107" t="str">
        <f t="shared" si="419"/>
        <v>ATK</v>
      </c>
      <c r="D1620" s="2" t="s">
        <v>810</v>
      </c>
      <c r="E1620" s="3">
        <v>44154</v>
      </c>
      <c r="F1620" s="3">
        <v>44154</v>
      </c>
      <c r="G1620" s="108">
        <f t="shared" si="420"/>
        <v>11</v>
      </c>
      <c r="H1620" s="108" t="str">
        <f t="shared" si="421"/>
        <v>완료</v>
      </c>
      <c r="I1620" s="112" t="s">
        <v>218</v>
      </c>
      <c r="J1620" s="4" t="s">
        <v>115</v>
      </c>
      <c r="K1620" s="5" t="s">
        <v>116</v>
      </c>
      <c r="L1620" s="6" t="str">
        <f t="shared" si="422"/>
        <v>EE2</v>
      </c>
      <c r="M1620" s="13" t="s">
        <v>813</v>
      </c>
      <c r="N1620" s="7" t="s">
        <v>5196</v>
      </c>
      <c r="O1620" s="13" t="s">
        <v>5197</v>
      </c>
      <c r="P1620" s="115"/>
      <c r="Q1620" s="8"/>
      <c r="R1620" s="2">
        <v>2</v>
      </c>
      <c r="S1620" s="9">
        <v>2700</v>
      </c>
      <c r="T1620" s="10">
        <f t="shared" si="423"/>
        <v>2700</v>
      </c>
      <c r="U1620" s="9">
        <v>2</v>
      </c>
      <c r="V1620" s="10">
        <f t="shared" si="424"/>
        <v>2698</v>
      </c>
      <c r="W1620" s="4" t="s">
        <v>122</v>
      </c>
      <c r="X1620" s="2"/>
      <c r="Y1620" s="11">
        <v>3</v>
      </c>
      <c r="Z1620" s="12">
        <f t="shared" si="425"/>
        <v>0</v>
      </c>
      <c r="AA1620" s="4" t="s">
        <v>117</v>
      </c>
      <c r="AC1620" s="176">
        <f t="shared" si="412"/>
        <v>1.8181818181818182E-3</v>
      </c>
    </row>
    <row r="1621" spans="2:29">
      <c r="B1621" s="183">
        <f t="shared" si="418"/>
        <v>47</v>
      </c>
      <c r="C1621" s="107" t="str">
        <f t="shared" si="419"/>
        <v>ATK</v>
      </c>
      <c r="D1621" s="2" t="s">
        <v>677</v>
      </c>
      <c r="E1621" s="3">
        <v>44154</v>
      </c>
      <c r="F1621" s="3">
        <v>44154</v>
      </c>
      <c r="G1621" s="108">
        <f t="shared" si="420"/>
        <v>11</v>
      </c>
      <c r="H1621" s="108" t="str">
        <f t="shared" si="421"/>
        <v>완료</v>
      </c>
      <c r="I1621" s="112" t="s">
        <v>218</v>
      </c>
      <c r="J1621" s="4" t="s">
        <v>139</v>
      </c>
      <c r="K1621" s="5" t="s">
        <v>851</v>
      </c>
      <c r="L1621" s="6" t="str">
        <f t="shared" si="422"/>
        <v>6T1</v>
      </c>
      <c r="M1621" s="13" t="s">
        <v>5198</v>
      </c>
      <c r="N1621" s="7" t="s">
        <v>5199</v>
      </c>
      <c r="O1621" s="13" t="s">
        <v>5200</v>
      </c>
      <c r="P1621" s="115" t="s">
        <v>5201</v>
      </c>
      <c r="Q1621" s="8"/>
      <c r="R1621" s="2">
        <v>7</v>
      </c>
      <c r="S1621" s="9">
        <v>5000</v>
      </c>
      <c r="T1621" s="10">
        <f t="shared" si="423"/>
        <v>17500</v>
      </c>
      <c r="U1621" s="9">
        <v>0</v>
      </c>
      <c r="V1621" s="10">
        <f t="shared" si="424"/>
        <v>17500</v>
      </c>
      <c r="W1621" s="4" t="s">
        <v>122</v>
      </c>
      <c r="X1621" s="2"/>
      <c r="Y1621" s="11">
        <v>8</v>
      </c>
      <c r="Z1621" s="12">
        <f t="shared" si="425"/>
        <v>0</v>
      </c>
      <c r="AA1621" s="4" t="s">
        <v>212</v>
      </c>
      <c r="AC1621" s="176">
        <f t="shared" si="412"/>
        <v>0</v>
      </c>
    </row>
    <row r="1622" spans="2:29">
      <c r="B1622" s="183">
        <f t="shared" si="418"/>
        <v>47</v>
      </c>
      <c r="C1622" s="107" t="str">
        <f t="shared" si="419"/>
        <v>ATK</v>
      </c>
      <c r="D1622" s="2" t="s">
        <v>217</v>
      </c>
      <c r="E1622" s="3">
        <v>44152</v>
      </c>
      <c r="F1622" s="3">
        <v>44154</v>
      </c>
      <c r="G1622" s="108">
        <f t="shared" si="420"/>
        <v>11</v>
      </c>
      <c r="H1622" s="108" t="str">
        <f t="shared" si="421"/>
        <v>완료</v>
      </c>
      <c r="I1622" s="112" t="s">
        <v>218</v>
      </c>
      <c r="J1622" s="4" t="s">
        <v>127</v>
      </c>
      <c r="K1622" s="5" t="s">
        <v>131</v>
      </c>
      <c r="L1622" s="6" t="str">
        <f t="shared" si="422"/>
        <v>1T4</v>
      </c>
      <c r="M1622" s="13" t="s">
        <v>4448</v>
      </c>
      <c r="N1622" s="7" t="s">
        <v>4207</v>
      </c>
      <c r="O1622" s="13" t="s">
        <v>543</v>
      </c>
      <c r="P1622" s="115" t="s">
        <v>5202</v>
      </c>
      <c r="Q1622" s="8" t="s">
        <v>5203</v>
      </c>
      <c r="R1622" s="2">
        <v>1</v>
      </c>
      <c r="S1622" s="9">
        <v>4200</v>
      </c>
      <c r="T1622" s="10">
        <f t="shared" si="423"/>
        <v>2100</v>
      </c>
      <c r="U1622" s="9">
        <v>2</v>
      </c>
      <c r="V1622" s="10">
        <f t="shared" si="424"/>
        <v>2098</v>
      </c>
      <c r="W1622" s="4" t="s">
        <v>122</v>
      </c>
      <c r="X1622" s="2"/>
      <c r="Y1622" s="11">
        <v>6</v>
      </c>
      <c r="Z1622" s="12">
        <f t="shared" si="425"/>
        <v>2</v>
      </c>
      <c r="AA1622" s="4" t="s">
        <v>120</v>
      </c>
      <c r="AC1622" s="176">
        <f t="shared" si="412"/>
        <v>1.8181818181818182E-3</v>
      </c>
    </row>
    <row r="1623" spans="2:29">
      <c r="B1623" s="183">
        <f t="shared" si="418"/>
        <v>47</v>
      </c>
      <c r="C1623" s="107" t="str">
        <f t="shared" si="419"/>
        <v>ATK</v>
      </c>
      <c r="D1623" s="2" t="s">
        <v>664</v>
      </c>
      <c r="E1623" s="3">
        <v>44154</v>
      </c>
      <c r="F1623" s="3">
        <v>44154</v>
      </c>
      <c r="G1623" s="108">
        <f t="shared" si="420"/>
        <v>11</v>
      </c>
      <c r="H1623" s="108" t="str">
        <f t="shared" si="421"/>
        <v>완료</v>
      </c>
      <c r="I1623" s="112" t="s">
        <v>218</v>
      </c>
      <c r="J1623" s="4" t="s">
        <v>127</v>
      </c>
      <c r="K1623" s="5" t="s">
        <v>135</v>
      </c>
      <c r="L1623" s="6" t="str">
        <f t="shared" ref="L1623" si="426">LEFT(K1623,3)</f>
        <v>1T3</v>
      </c>
      <c r="M1623" s="13" t="s">
        <v>4536</v>
      </c>
      <c r="N1623" s="7" t="s">
        <v>4038</v>
      </c>
      <c r="O1623" s="13" t="s">
        <v>985</v>
      </c>
      <c r="P1623" s="115" t="s">
        <v>1617</v>
      </c>
      <c r="Q1623" s="8"/>
      <c r="R1623" s="2">
        <v>1</v>
      </c>
      <c r="S1623" s="9">
        <v>500</v>
      </c>
      <c r="T1623" s="10">
        <f t="shared" ref="T1623" si="427">(S1623*50)/100*R1623</f>
        <v>250</v>
      </c>
      <c r="U1623" s="9">
        <v>40</v>
      </c>
      <c r="V1623" s="10">
        <f t="shared" ref="V1623" si="428">T1623-U1623</f>
        <v>210</v>
      </c>
      <c r="W1623" s="4" t="s">
        <v>249</v>
      </c>
      <c r="X1623" s="2"/>
      <c r="Y1623" s="11">
        <v>1</v>
      </c>
      <c r="Z1623" s="12">
        <f t="shared" ref="Z1623" si="429">F1623-E1623</f>
        <v>0</v>
      </c>
      <c r="AA1623" s="4" t="s">
        <v>5204</v>
      </c>
      <c r="AC1623" s="176">
        <f t="shared" si="412"/>
        <v>3.6363636363636362E-2</v>
      </c>
    </row>
    <row r="1624" spans="2:29">
      <c r="B1624" s="183">
        <f t="shared" si="418"/>
        <v>47</v>
      </c>
      <c r="C1624" s="107" t="str">
        <f t="shared" si="419"/>
        <v>ATK</v>
      </c>
      <c r="D1624" s="2" t="s">
        <v>664</v>
      </c>
      <c r="E1624" s="3">
        <v>44148</v>
      </c>
      <c r="F1624" s="3">
        <v>44155</v>
      </c>
      <c r="G1624" s="108">
        <f t="shared" si="420"/>
        <v>11</v>
      </c>
      <c r="H1624" s="108" t="str">
        <f t="shared" si="421"/>
        <v>완료</v>
      </c>
      <c r="I1624" s="112" t="s">
        <v>218</v>
      </c>
      <c r="J1624" s="4" t="s">
        <v>127</v>
      </c>
      <c r="K1624" s="5" t="s">
        <v>135</v>
      </c>
      <c r="L1624" s="6" t="str">
        <f t="shared" ref="L1624" si="430">LEFT(K1624,3)</f>
        <v>1T3</v>
      </c>
      <c r="M1624" s="13" t="s">
        <v>4536</v>
      </c>
      <c r="N1624" s="7" t="s">
        <v>5206</v>
      </c>
      <c r="O1624" s="13" t="s">
        <v>5207</v>
      </c>
      <c r="P1624" s="115" t="s">
        <v>5208</v>
      </c>
      <c r="Q1624" s="8"/>
      <c r="R1624" s="2">
        <v>3</v>
      </c>
      <c r="S1624" s="9">
        <v>1600</v>
      </c>
      <c r="T1624" s="10">
        <f t="shared" ref="T1624:T1645" si="431">(S1624*50)/100*R1624</f>
        <v>2400</v>
      </c>
      <c r="U1624" s="9">
        <v>20</v>
      </c>
      <c r="V1624" s="10">
        <f t="shared" ref="V1624:V1645" si="432">T1624-U1624</f>
        <v>2380</v>
      </c>
      <c r="W1624" s="4" t="s">
        <v>249</v>
      </c>
      <c r="X1624" s="2"/>
      <c r="Y1624" s="11">
        <v>3</v>
      </c>
      <c r="Z1624" s="12">
        <f t="shared" ref="Z1624:Z1645" si="433">F1624-E1624</f>
        <v>7</v>
      </c>
      <c r="AA1624" s="4" t="s">
        <v>27</v>
      </c>
      <c r="AC1624" s="176">
        <f t="shared" si="412"/>
        <v>1.8181818181818181E-2</v>
      </c>
    </row>
    <row r="1625" spans="2:29">
      <c r="B1625" s="183">
        <f t="shared" si="418"/>
        <v>47</v>
      </c>
      <c r="C1625" s="107" t="str">
        <f t="shared" si="419"/>
        <v>ATK</v>
      </c>
      <c r="D1625" s="2" t="s">
        <v>5209</v>
      </c>
      <c r="E1625" s="3">
        <v>44155</v>
      </c>
      <c r="F1625" s="3">
        <v>44155</v>
      </c>
      <c r="G1625" s="108">
        <f t="shared" si="420"/>
        <v>11</v>
      </c>
      <c r="H1625" s="108" t="str">
        <f t="shared" si="421"/>
        <v>완료</v>
      </c>
      <c r="I1625" s="112" t="s">
        <v>218</v>
      </c>
      <c r="J1625" s="4" t="s">
        <v>121</v>
      </c>
      <c r="K1625" s="5" t="s">
        <v>136</v>
      </c>
      <c r="L1625" s="6" t="str">
        <f t="shared" ref="L1625:L1645" si="434">LEFT(K1625,3)</f>
        <v>5T1</v>
      </c>
      <c r="M1625" s="13" t="s">
        <v>147</v>
      </c>
      <c r="N1625" s="7" t="s">
        <v>197</v>
      </c>
      <c r="O1625" s="13" t="s">
        <v>147</v>
      </c>
      <c r="P1625" s="115" t="s">
        <v>198</v>
      </c>
      <c r="Q1625" s="8"/>
      <c r="R1625" s="2">
        <v>1</v>
      </c>
      <c r="S1625" s="9">
        <v>710</v>
      </c>
      <c r="T1625" s="10">
        <f t="shared" si="431"/>
        <v>355</v>
      </c>
      <c r="U1625" s="9">
        <v>25</v>
      </c>
      <c r="V1625" s="10">
        <f t="shared" si="432"/>
        <v>330</v>
      </c>
      <c r="W1625" s="4" t="s">
        <v>122</v>
      </c>
      <c r="X1625" s="2"/>
      <c r="Y1625" s="11">
        <v>1</v>
      </c>
      <c r="Z1625" s="12">
        <f t="shared" si="433"/>
        <v>0</v>
      </c>
      <c r="AA1625" s="4" t="s">
        <v>117</v>
      </c>
      <c r="AC1625" s="176">
        <f t="shared" si="412"/>
        <v>2.2727272727272728E-2</v>
      </c>
    </row>
    <row r="1626" spans="2:29">
      <c r="B1626" s="183">
        <f t="shared" si="418"/>
        <v>47</v>
      </c>
      <c r="C1626" s="107" t="str">
        <f t="shared" si="419"/>
        <v>ATK</v>
      </c>
      <c r="D1626" s="2" t="s">
        <v>5210</v>
      </c>
      <c r="E1626" s="3">
        <v>44155</v>
      </c>
      <c r="F1626" s="3">
        <v>44155</v>
      </c>
      <c r="G1626" s="108">
        <f t="shared" si="420"/>
        <v>11</v>
      </c>
      <c r="H1626" s="108" t="str">
        <f t="shared" si="421"/>
        <v>완료</v>
      </c>
      <c r="I1626" s="112" t="s">
        <v>218</v>
      </c>
      <c r="J1626" s="4" t="s">
        <v>121</v>
      </c>
      <c r="K1626" s="5" t="s">
        <v>136</v>
      </c>
      <c r="L1626" s="6" t="str">
        <f t="shared" si="434"/>
        <v>5T1</v>
      </c>
      <c r="M1626" s="13" t="s">
        <v>5211</v>
      </c>
      <c r="N1626" s="7"/>
      <c r="O1626" s="13" t="s">
        <v>339</v>
      </c>
      <c r="P1626" s="115" t="s">
        <v>5212</v>
      </c>
      <c r="Q1626" s="8"/>
      <c r="R1626" s="2">
        <v>1</v>
      </c>
      <c r="S1626" s="9">
        <v>600</v>
      </c>
      <c r="T1626" s="10">
        <f t="shared" si="431"/>
        <v>300</v>
      </c>
      <c r="U1626" s="9">
        <v>60</v>
      </c>
      <c r="V1626" s="10">
        <f t="shared" si="432"/>
        <v>240</v>
      </c>
      <c r="W1626" s="4" t="s">
        <v>122</v>
      </c>
      <c r="X1626" s="2"/>
      <c r="Y1626" s="11">
        <v>3</v>
      </c>
      <c r="Z1626" s="12">
        <f t="shared" si="433"/>
        <v>0</v>
      </c>
      <c r="AA1626" s="4" t="s">
        <v>117</v>
      </c>
      <c r="AC1626" s="176">
        <f t="shared" si="412"/>
        <v>5.4545454545454543E-2</v>
      </c>
    </row>
    <row r="1627" spans="2:29">
      <c r="B1627" s="183">
        <f t="shared" si="418"/>
        <v>52</v>
      </c>
      <c r="C1627" s="107" t="str">
        <f t="shared" si="419"/>
        <v>ATK</v>
      </c>
      <c r="D1627" s="2" t="s">
        <v>5213</v>
      </c>
      <c r="E1627" s="3">
        <v>44155</v>
      </c>
      <c r="F1627" s="3">
        <v>44187</v>
      </c>
      <c r="G1627" s="108">
        <f t="shared" si="420"/>
        <v>12</v>
      </c>
      <c r="H1627" s="108" t="str">
        <f t="shared" si="421"/>
        <v>완료</v>
      </c>
      <c r="I1627" s="112" t="s">
        <v>514</v>
      </c>
      <c r="J1627" s="4" t="s">
        <v>121</v>
      </c>
      <c r="K1627" s="5" t="s">
        <v>136</v>
      </c>
      <c r="L1627" s="6" t="str">
        <f t="shared" si="434"/>
        <v>5T1</v>
      </c>
      <c r="M1627" s="13" t="s">
        <v>5214</v>
      </c>
      <c r="N1627" s="7"/>
      <c r="O1627" s="13" t="s">
        <v>5215</v>
      </c>
      <c r="P1627" s="115" t="s">
        <v>5216</v>
      </c>
      <c r="Q1627" s="8"/>
      <c r="R1627" s="2">
        <v>1</v>
      </c>
      <c r="S1627" s="9">
        <v>3900</v>
      </c>
      <c r="T1627" s="10">
        <f t="shared" si="431"/>
        <v>1950</v>
      </c>
      <c r="U1627" s="9">
        <v>1500</v>
      </c>
      <c r="V1627" s="10">
        <f t="shared" si="432"/>
        <v>450</v>
      </c>
      <c r="W1627" s="4" t="s">
        <v>123</v>
      </c>
      <c r="X1627" s="2" t="s">
        <v>124</v>
      </c>
      <c r="Y1627" s="11">
        <v>1</v>
      </c>
      <c r="Z1627" s="12">
        <f t="shared" si="433"/>
        <v>32</v>
      </c>
      <c r="AA1627" s="4" t="s">
        <v>117</v>
      </c>
      <c r="AC1627" s="176">
        <f t="shared" si="412"/>
        <v>1.3636363636363635</v>
      </c>
    </row>
    <row r="1628" spans="2:29">
      <c r="B1628" s="183">
        <f t="shared" si="418"/>
        <v>51</v>
      </c>
      <c r="C1628" s="107" t="str">
        <f t="shared" si="419"/>
        <v>ATK</v>
      </c>
      <c r="D1628" s="2" t="s">
        <v>5217</v>
      </c>
      <c r="E1628" s="3">
        <v>44155</v>
      </c>
      <c r="F1628" s="3">
        <v>44180</v>
      </c>
      <c r="G1628" s="108">
        <f t="shared" si="420"/>
        <v>12</v>
      </c>
      <c r="H1628" s="108" t="str">
        <f t="shared" si="421"/>
        <v>완료</v>
      </c>
      <c r="I1628" s="112" t="s">
        <v>218</v>
      </c>
      <c r="J1628" s="4" t="s">
        <v>115</v>
      </c>
      <c r="K1628" s="5" t="s">
        <v>116</v>
      </c>
      <c r="L1628" s="6" t="str">
        <f t="shared" si="434"/>
        <v>EE2</v>
      </c>
      <c r="M1628" s="13" t="s">
        <v>260</v>
      </c>
      <c r="N1628" s="7" t="s">
        <v>3507</v>
      </c>
      <c r="O1628" s="13" t="s">
        <v>261</v>
      </c>
      <c r="P1628" s="115"/>
      <c r="Q1628" s="8" t="s">
        <v>5218</v>
      </c>
      <c r="R1628" s="2">
        <v>2</v>
      </c>
      <c r="S1628" s="9">
        <v>6000</v>
      </c>
      <c r="T1628" s="10">
        <f t="shared" si="431"/>
        <v>6000</v>
      </c>
      <c r="U1628" s="9">
        <v>40</v>
      </c>
      <c r="V1628" s="10">
        <f t="shared" si="432"/>
        <v>5960</v>
      </c>
      <c r="W1628" s="4" t="s">
        <v>122</v>
      </c>
      <c r="X1628" s="2"/>
      <c r="Y1628" s="11">
        <v>16</v>
      </c>
      <c r="Z1628" s="12">
        <f t="shared" si="433"/>
        <v>25</v>
      </c>
      <c r="AA1628" s="4" t="s">
        <v>117</v>
      </c>
      <c r="AC1628" s="176">
        <f t="shared" si="412"/>
        <v>3.6363636363636362E-2</v>
      </c>
    </row>
    <row r="1629" spans="2:29">
      <c r="B1629" s="183">
        <f t="shared" si="418"/>
        <v>47</v>
      </c>
      <c r="C1629" s="107" t="str">
        <f t="shared" si="419"/>
        <v>ATK</v>
      </c>
      <c r="D1629" s="2" t="s">
        <v>3293</v>
      </c>
      <c r="E1629" s="3">
        <v>44151</v>
      </c>
      <c r="F1629" s="3">
        <v>44151</v>
      </c>
      <c r="G1629" s="108">
        <f t="shared" si="420"/>
        <v>11</v>
      </c>
      <c r="H1629" s="108" t="str">
        <f t="shared" si="421"/>
        <v>Other</v>
      </c>
      <c r="I1629" s="112" t="s">
        <v>31</v>
      </c>
      <c r="J1629" s="4" t="s">
        <v>31</v>
      </c>
      <c r="K1629" s="5" t="s">
        <v>31</v>
      </c>
      <c r="L1629" s="6" t="str">
        <f t="shared" si="434"/>
        <v>Oth</v>
      </c>
      <c r="M1629" s="13" t="s">
        <v>3293</v>
      </c>
      <c r="N1629" s="7" t="s">
        <v>5191</v>
      </c>
      <c r="O1629" s="13" t="s">
        <v>226</v>
      </c>
      <c r="P1629" s="115" t="s">
        <v>5219</v>
      </c>
      <c r="Q1629" s="8"/>
      <c r="R1629" s="2">
        <v>1</v>
      </c>
      <c r="S1629" s="9">
        <v>0</v>
      </c>
      <c r="T1629" s="10">
        <f t="shared" si="431"/>
        <v>0</v>
      </c>
      <c r="U1629" s="9">
        <v>0</v>
      </c>
      <c r="V1629" s="10">
        <f t="shared" si="432"/>
        <v>0</v>
      </c>
      <c r="W1629" s="4" t="s">
        <v>249</v>
      </c>
      <c r="X1629" s="2"/>
      <c r="Y1629" s="11">
        <v>1</v>
      </c>
      <c r="Z1629" s="12">
        <f t="shared" si="433"/>
        <v>0</v>
      </c>
      <c r="AA1629" s="4" t="s">
        <v>174</v>
      </c>
      <c r="AC1629" s="176">
        <f t="shared" si="412"/>
        <v>0</v>
      </c>
    </row>
    <row r="1630" spans="2:29">
      <c r="B1630" s="183">
        <f t="shared" si="418"/>
        <v>47</v>
      </c>
      <c r="C1630" s="107" t="str">
        <f t="shared" si="419"/>
        <v>ATK</v>
      </c>
      <c r="D1630" s="2" t="s">
        <v>3293</v>
      </c>
      <c r="E1630" s="3">
        <v>44151</v>
      </c>
      <c r="F1630" s="3">
        <v>44151</v>
      </c>
      <c r="G1630" s="108">
        <f t="shared" si="420"/>
        <v>11</v>
      </c>
      <c r="H1630" s="108" t="str">
        <f t="shared" si="421"/>
        <v>Other</v>
      </c>
      <c r="I1630" s="112" t="s">
        <v>251</v>
      </c>
      <c r="J1630" s="4" t="s">
        <v>31</v>
      </c>
      <c r="K1630" s="5" t="s">
        <v>31</v>
      </c>
      <c r="L1630" s="6" t="str">
        <f t="shared" si="434"/>
        <v>Oth</v>
      </c>
      <c r="M1630" s="13" t="s">
        <v>3293</v>
      </c>
      <c r="N1630" s="7" t="s">
        <v>5191</v>
      </c>
      <c r="O1630" s="13" t="s">
        <v>226</v>
      </c>
      <c r="P1630" s="115" t="s">
        <v>5219</v>
      </c>
      <c r="Q1630" s="8"/>
      <c r="R1630" s="2">
        <v>1</v>
      </c>
      <c r="S1630" s="9">
        <v>0</v>
      </c>
      <c r="T1630" s="10">
        <f t="shared" si="431"/>
        <v>0</v>
      </c>
      <c r="U1630" s="9">
        <v>0</v>
      </c>
      <c r="V1630" s="10">
        <f t="shared" si="432"/>
        <v>0</v>
      </c>
      <c r="W1630" s="4" t="s">
        <v>249</v>
      </c>
      <c r="X1630" s="2"/>
      <c r="Y1630" s="11">
        <v>1</v>
      </c>
      <c r="Z1630" s="12">
        <f t="shared" si="433"/>
        <v>0</v>
      </c>
      <c r="AA1630" s="4" t="s">
        <v>30</v>
      </c>
      <c r="AC1630" s="176">
        <f t="shared" si="412"/>
        <v>0</v>
      </c>
    </row>
    <row r="1631" spans="2:29">
      <c r="B1631" s="183">
        <f t="shared" si="418"/>
        <v>47</v>
      </c>
      <c r="C1631" s="107" t="str">
        <f t="shared" si="419"/>
        <v>ATK</v>
      </c>
      <c r="D1631" s="2" t="s">
        <v>3293</v>
      </c>
      <c r="E1631" s="3">
        <v>44152</v>
      </c>
      <c r="F1631" s="3">
        <v>44152</v>
      </c>
      <c r="G1631" s="108">
        <f t="shared" si="420"/>
        <v>11</v>
      </c>
      <c r="H1631" s="108" t="str">
        <f t="shared" si="421"/>
        <v>Other</v>
      </c>
      <c r="I1631" s="112" t="s">
        <v>31</v>
      </c>
      <c r="J1631" s="4" t="s">
        <v>31</v>
      </c>
      <c r="K1631" s="5" t="s">
        <v>31</v>
      </c>
      <c r="L1631" s="6" t="str">
        <f t="shared" ref="L1631:L1634" si="435">LEFT(K1631,3)</f>
        <v>Oth</v>
      </c>
      <c r="M1631" s="13" t="s">
        <v>3293</v>
      </c>
      <c r="N1631" s="7" t="s">
        <v>5191</v>
      </c>
      <c r="O1631" s="13" t="s">
        <v>226</v>
      </c>
      <c r="P1631" s="115" t="s">
        <v>5220</v>
      </c>
      <c r="Q1631" s="8"/>
      <c r="R1631" s="2">
        <v>1</v>
      </c>
      <c r="S1631" s="9">
        <v>0</v>
      </c>
      <c r="T1631" s="10">
        <f t="shared" ref="T1631:T1634" si="436">(S1631*50)/100*R1631</f>
        <v>0</v>
      </c>
      <c r="U1631" s="9">
        <v>0</v>
      </c>
      <c r="V1631" s="10">
        <f t="shared" ref="V1631:V1634" si="437">T1631-U1631</f>
        <v>0</v>
      </c>
      <c r="W1631" s="4" t="s">
        <v>249</v>
      </c>
      <c r="X1631" s="2"/>
      <c r="Y1631" s="11">
        <v>1</v>
      </c>
      <c r="Z1631" s="12">
        <f t="shared" ref="Z1631:Z1634" si="438">F1631-E1631</f>
        <v>0</v>
      </c>
      <c r="AA1631" s="4" t="s">
        <v>174</v>
      </c>
      <c r="AC1631" s="176">
        <f t="shared" si="412"/>
        <v>0</v>
      </c>
    </row>
    <row r="1632" spans="2:29">
      <c r="B1632" s="183">
        <f t="shared" si="418"/>
        <v>47</v>
      </c>
      <c r="C1632" s="107" t="str">
        <f t="shared" si="419"/>
        <v>ATK</v>
      </c>
      <c r="D1632" s="2" t="s">
        <v>3293</v>
      </c>
      <c r="E1632" s="3">
        <v>44152</v>
      </c>
      <c r="F1632" s="3">
        <v>44152</v>
      </c>
      <c r="G1632" s="108">
        <f t="shared" si="420"/>
        <v>11</v>
      </c>
      <c r="H1632" s="108" t="str">
        <f t="shared" si="421"/>
        <v>Other</v>
      </c>
      <c r="I1632" s="112" t="s">
        <v>251</v>
      </c>
      <c r="J1632" s="4" t="s">
        <v>31</v>
      </c>
      <c r="K1632" s="5" t="s">
        <v>31</v>
      </c>
      <c r="L1632" s="6" t="str">
        <f t="shared" si="435"/>
        <v>Oth</v>
      </c>
      <c r="M1632" s="13" t="s">
        <v>3293</v>
      </c>
      <c r="N1632" s="7" t="s">
        <v>5191</v>
      </c>
      <c r="O1632" s="13" t="s">
        <v>226</v>
      </c>
      <c r="P1632" s="115" t="s">
        <v>5220</v>
      </c>
      <c r="Q1632" s="8"/>
      <c r="R1632" s="2">
        <v>1</v>
      </c>
      <c r="S1632" s="9">
        <v>0</v>
      </c>
      <c r="T1632" s="10">
        <f t="shared" si="436"/>
        <v>0</v>
      </c>
      <c r="U1632" s="9">
        <v>0</v>
      </c>
      <c r="V1632" s="10">
        <f t="shared" si="437"/>
        <v>0</v>
      </c>
      <c r="W1632" s="4" t="s">
        <v>249</v>
      </c>
      <c r="X1632" s="2"/>
      <c r="Y1632" s="11">
        <v>1</v>
      </c>
      <c r="Z1632" s="12">
        <f t="shared" si="438"/>
        <v>0</v>
      </c>
      <c r="AA1632" s="4" t="s">
        <v>30</v>
      </c>
      <c r="AC1632" s="176">
        <f t="shared" si="412"/>
        <v>0</v>
      </c>
    </row>
    <row r="1633" spans="2:29">
      <c r="B1633" s="183">
        <f t="shared" si="418"/>
        <v>47</v>
      </c>
      <c r="C1633" s="107" t="str">
        <f t="shared" si="419"/>
        <v>ATK</v>
      </c>
      <c r="D1633" s="2" t="s">
        <v>3293</v>
      </c>
      <c r="E1633" s="3">
        <v>44153</v>
      </c>
      <c r="F1633" s="3">
        <v>44153</v>
      </c>
      <c r="G1633" s="108">
        <f t="shared" si="420"/>
        <v>11</v>
      </c>
      <c r="H1633" s="108" t="str">
        <f t="shared" si="421"/>
        <v>Other</v>
      </c>
      <c r="I1633" s="112" t="s">
        <v>31</v>
      </c>
      <c r="J1633" s="4" t="s">
        <v>31</v>
      </c>
      <c r="K1633" s="5" t="s">
        <v>31</v>
      </c>
      <c r="L1633" s="6" t="str">
        <f t="shared" si="435"/>
        <v>Oth</v>
      </c>
      <c r="M1633" s="13" t="s">
        <v>3293</v>
      </c>
      <c r="N1633" s="7" t="s">
        <v>5191</v>
      </c>
      <c r="O1633" s="13" t="s">
        <v>226</v>
      </c>
      <c r="P1633" s="115" t="s">
        <v>5221</v>
      </c>
      <c r="Q1633" s="8"/>
      <c r="R1633" s="2">
        <v>1</v>
      </c>
      <c r="S1633" s="9">
        <v>0</v>
      </c>
      <c r="T1633" s="10">
        <f t="shared" si="436"/>
        <v>0</v>
      </c>
      <c r="U1633" s="9">
        <v>0</v>
      </c>
      <c r="V1633" s="10">
        <f t="shared" si="437"/>
        <v>0</v>
      </c>
      <c r="W1633" s="4" t="s">
        <v>249</v>
      </c>
      <c r="X1633" s="2"/>
      <c r="Y1633" s="11">
        <v>1</v>
      </c>
      <c r="Z1633" s="12">
        <f t="shared" si="438"/>
        <v>0</v>
      </c>
      <c r="AA1633" s="4" t="s">
        <v>174</v>
      </c>
      <c r="AC1633" s="176">
        <f t="shared" si="412"/>
        <v>0</v>
      </c>
    </row>
    <row r="1634" spans="2:29">
      <c r="B1634" s="183">
        <f t="shared" si="418"/>
        <v>47</v>
      </c>
      <c r="C1634" s="107" t="str">
        <f t="shared" si="419"/>
        <v>ATK</v>
      </c>
      <c r="D1634" s="2" t="s">
        <v>3293</v>
      </c>
      <c r="E1634" s="3">
        <v>44153</v>
      </c>
      <c r="F1634" s="3">
        <v>44153</v>
      </c>
      <c r="G1634" s="108">
        <f t="shared" si="420"/>
        <v>11</v>
      </c>
      <c r="H1634" s="108" t="str">
        <f t="shared" si="421"/>
        <v>Other</v>
      </c>
      <c r="I1634" s="112" t="s">
        <v>251</v>
      </c>
      <c r="J1634" s="4" t="s">
        <v>31</v>
      </c>
      <c r="K1634" s="5" t="s">
        <v>31</v>
      </c>
      <c r="L1634" s="6" t="str">
        <f t="shared" si="435"/>
        <v>Oth</v>
      </c>
      <c r="M1634" s="13" t="s">
        <v>3293</v>
      </c>
      <c r="N1634" s="7" t="s">
        <v>5191</v>
      </c>
      <c r="O1634" s="13" t="s">
        <v>226</v>
      </c>
      <c r="P1634" s="115" t="s">
        <v>5221</v>
      </c>
      <c r="Q1634" s="8"/>
      <c r="R1634" s="2">
        <v>1</v>
      </c>
      <c r="S1634" s="9">
        <v>0</v>
      </c>
      <c r="T1634" s="10">
        <f t="shared" si="436"/>
        <v>0</v>
      </c>
      <c r="U1634" s="9">
        <v>0</v>
      </c>
      <c r="V1634" s="10">
        <f t="shared" si="437"/>
        <v>0</v>
      </c>
      <c r="W1634" s="4" t="s">
        <v>249</v>
      </c>
      <c r="X1634" s="2"/>
      <c r="Y1634" s="11">
        <v>1</v>
      </c>
      <c r="Z1634" s="12">
        <f t="shared" si="438"/>
        <v>0</v>
      </c>
      <c r="AA1634" s="4" t="s">
        <v>30</v>
      </c>
      <c r="AC1634" s="176">
        <f t="shared" si="412"/>
        <v>0</v>
      </c>
    </row>
    <row r="1635" spans="2:29">
      <c r="B1635" s="183">
        <f t="shared" si="418"/>
        <v>48</v>
      </c>
      <c r="C1635" s="107" t="str">
        <f t="shared" si="419"/>
        <v>ATK</v>
      </c>
      <c r="D1635" s="2" t="s">
        <v>250</v>
      </c>
      <c r="E1635" s="3">
        <v>44158</v>
      </c>
      <c r="F1635" s="3">
        <v>44159</v>
      </c>
      <c r="G1635" s="108">
        <f t="shared" si="420"/>
        <v>11</v>
      </c>
      <c r="H1635" s="108" t="str">
        <f t="shared" si="421"/>
        <v>완료</v>
      </c>
      <c r="I1635" s="112" t="s">
        <v>218</v>
      </c>
      <c r="J1635" s="4" t="s">
        <v>251</v>
      </c>
      <c r="K1635" s="5" t="s">
        <v>251</v>
      </c>
      <c r="L1635" s="6" t="s">
        <v>5223</v>
      </c>
      <c r="M1635" s="13" t="s">
        <v>5224</v>
      </c>
      <c r="N1635" s="7" t="s">
        <v>3952</v>
      </c>
      <c r="O1635" s="13" t="s">
        <v>5226</v>
      </c>
      <c r="P1635" s="115" t="s">
        <v>5225</v>
      </c>
      <c r="Q1635" s="8"/>
      <c r="R1635" s="2">
        <v>1</v>
      </c>
      <c r="S1635" s="9">
        <v>3000</v>
      </c>
      <c r="T1635" s="10">
        <v>1500</v>
      </c>
      <c r="U1635" s="9">
        <v>70</v>
      </c>
      <c r="V1635" s="10">
        <v>1400</v>
      </c>
      <c r="W1635" s="4" t="s">
        <v>122</v>
      </c>
      <c r="X1635" s="2"/>
      <c r="Y1635" s="11">
        <v>2</v>
      </c>
      <c r="Z1635" s="12">
        <v>0</v>
      </c>
      <c r="AA1635" s="4" t="s">
        <v>130</v>
      </c>
      <c r="AC1635" s="176">
        <f t="shared" si="412"/>
        <v>6.363636363636363E-2</v>
      </c>
    </row>
    <row r="1636" spans="2:29">
      <c r="B1636" s="183">
        <f t="shared" si="418"/>
        <v>48</v>
      </c>
      <c r="C1636" s="107" t="str">
        <f t="shared" si="419"/>
        <v>ATK</v>
      </c>
      <c r="D1636" s="2" t="s">
        <v>250</v>
      </c>
      <c r="E1636" s="3">
        <v>44158</v>
      </c>
      <c r="F1636" s="3">
        <v>44158</v>
      </c>
      <c r="G1636" s="108">
        <f t="shared" si="420"/>
        <v>11</v>
      </c>
      <c r="H1636" s="108" t="str">
        <f t="shared" si="421"/>
        <v>Other</v>
      </c>
      <c r="I1636" s="112" t="s">
        <v>251</v>
      </c>
      <c r="J1636" s="4" t="s">
        <v>251</v>
      </c>
      <c r="K1636" s="5" t="s">
        <v>251</v>
      </c>
      <c r="L1636" s="6" t="s">
        <v>5223</v>
      </c>
      <c r="M1636" s="13" t="s">
        <v>5224</v>
      </c>
      <c r="N1636" s="7" t="s">
        <v>3952</v>
      </c>
      <c r="O1636" s="13" t="s">
        <v>5226</v>
      </c>
      <c r="P1636" s="115" t="s">
        <v>5253</v>
      </c>
      <c r="Q1636" s="8"/>
      <c r="R1636" s="2">
        <v>1</v>
      </c>
      <c r="S1636" s="9">
        <v>0</v>
      </c>
      <c r="T1636" s="10">
        <v>0</v>
      </c>
      <c r="U1636" s="9">
        <v>0</v>
      </c>
      <c r="V1636" s="10">
        <v>0</v>
      </c>
      <c r="W1636" s="4" t="s">
        <v>122</v>
      </c>
      <c r="X1636" s="2"/>
      <c r="Y1636" s="11">
        <v>3</v>
      </c>
      <c r="Z1636" s="12">
        <v>0</v>
      </c>
      <c r="AA1636" s="4" t="s">
        <v>130</v>
      </c>
      <c r="AC1636" s="176">
        <f t="shared" si="412"/>
        <v>0</v>
      </c>
    </row>
    <row r="1637" spans="2:29">
      <c r="B1637" s="183">
        <f t="shared" si="418"/>
        <v>48</v>
      </c>
      <c r="C1637" s="107" t="str">
        <f t="shared" si="419"/>
        <v>ATK</v>
      </c>
      <c r="D1637" s="2" t="s">
        <v>250</v>
      </c>
      <c r="E1637" s="3">
        <v>44158</v>
      </c>
      <c r="F1637" s="3">
        <v>44158</v>
      </c>
      <c r="G1637" s="108">
        <f t="shared" si="420"/>
        <v>11</v>
      </c>
      <c r="H1637" s="108" t="str">
        <f t="shared" si="421"/>
        <v>Other</v>
      </c>
      <c r="I1637" s="112" t="s">
        <v>251</v>
      </c>
      <c r="J1637" s="4" t="s">
        <v>251</v>
      </c>
      <c r="K1637" s="5" t="s">
        <v>251</v>
      </c>
      <c r="L1637" s="6" t="s">
        <v>5223</v>
      </c>
      <c r="M1637" s="13" t="s">
        <v>5224</v>
      </c>
      <c r="N1637" s="7" t="s">
        <v>3952</v>
      </c>
      <c r="O1637" s="13" t="s">
        <v>5226</v>
      </c>
      <c r="P1637" s="115" t="s">
        <v>5253</v>
      </c>
      <c r="Q1637" s="8"/>
      <c r="R1637" s="2">
        <v>1</v>
      </c>
      <c r="S1637" s="9">
        <v>0</v>
      </c>
      <c r="T1637" s="10">
        <v>0</v>
      </c>
      <c r="U1637" s="9">
        <v>0</v>
      </c>
      <c r="V1637" s="10">
        <v>0</v>
      </c>
      <c r="W1637" s="4" t="s">
        <v>122</v>
      </c>
      <c r="X1637" s="2"/>
      <c r="Y1637" s="11">
        <v>3</v>
      </c>
      <c r="Z1637" s="12">
        <v>0</v>
      </c>
      <c r="AA1637" s="4" t="s">
        <v>174</v>
      </c>
      <c r="AC1637" s="176">
        <f t="shared" si="412"/>
        <v>0</v>
      </c>
    </row>
    <row r="1638" spans="2:29">
      <c r="B1638" s="183">
        <f t="shared" si="418"/>
        <v>48</v>
      </c>
      <c r="C1638" s="107" t="str">
        <f t="shared" si="419"/>
        <v>ATK</v>
      </c>
      <c r="D1638" s="2" t="s">
        <v>5228</v>
      </c>
      <c r="E1638" s="3">
        <v>44158</v>
      </c>
      <c r="F1638" s="3">
        <v>44159</v>
      </c>
      <c r="G1638" s="108">
        <f t="shared" si="420"/>
        <v>11</v>
      </c>
      <c r="H1638" s="108" t="str">
        <f t="shared" si="421"/>
        <v>완료</v>
      </c>
      <c r="I1638" s="112" t="s">
        <v>218</v>
      </c>
      <c r="J1638" s="4" t="s">
        <v>499</v>
      </c>
      <c r="K1638" s="5" t="s">
        <v>499</v>
      </c>
      <c r="L1638" s="6" t="str">
        <f t="shared" si="434"/>
        <v>QA</v>
      </c>
      <c r="M1638" s="13" t="s">
        <v>5229</v>
      </c>
      <c r="N1638" s="7" t="s">
        <v>5233</v>
      </c>
      <c r="O1638" s="13" t="s">
        <v>5230</v>
      </c>
      <c r="P1638" s="115" t="s">
        <v>500</v>
      </c>
      <c r="Q1638" s="8"/>
      <c r="R1638" s="2">
        <v>1</v>
      </c>
      <c r="S1638" s="9">
        <v>800</v>
      </c>
      <c r="T1638" s="10">
        <f t="shared" si="431"/>
        <v>400</v>
      </c>
      <c r="U1638" s="9">
        <v>20</v>
      </c>
      <c r="V1638" s="10">
        <f t="shared" si="432"/>
        <v>380</v>
      </c>
      <c r="W1638" s="4" t="s">
        <v>122</v>
      </c>
      <c r="X1638" s="2"/>
      <c r="Y1638" s="11">
        <v>3</v>
      </c>
      <c r="Z1638" s="12">
        <f t="shared" si="433"/>
        <v>1</v>
      </c>
      <c r="AA1638" s="4" t="s">
        <v>117</v>
      </c>
      <c r="AC1638" s="176">
        <f t="shared" si="412"/>
        <v>1.8181818181818181E-2</v>
      </c>
    </row>
    <row r="1639" spans="2:29">
      <c r="B1639" s="183">
        <f t="shared" si="418"/>
        <v>48</v>
      </c>
      <c r="C1639" s="107" t="str">
        <f t="shared" si="419"/>
        <v>ATK</v>
      </c>
      <c r="D1639" s="2" t="s">
        <v>295</v>
      </c>
      <c r="E1639" s="3">
        <v>44158</v>
      </c>
      <c r="F1639" s="3">
        <v>44158</v>
      </c>
      <c r="G1639" s="108">
        <f t="shared" si="420"/>
        <v>11</v>
      </c>
      <c r="H1639" s="108" t="str">
        <f t="shared" si="421"/>
        <v>완료</v>
      </c>
      <c r="I1639" s="112" t="s">
        <v>218</v>
      </c>
      <c r="J1639" s="4" t="s">
        <v>132</v>
      </c>
      <c r="K1639" s="5" t="s">
        <v>133</v>
      </c>
      <c r="L1639" s="6" t="str">
        <f t="shared" si="434"/>
        <v>3T3</v>
      </c>
      <c r="M1639" s="13" t="s">
        <v>946</v>
      </c>
      <c r="N1639" s="7"/>
      <c r="O1639" s="13" t="s">
        <v>5231</v>
      </c>
      <c r="P1639" s="115" t="s">
        <v>5232</v>
      </c>
      <c r="Q1639" s="8"/>
      <c r="R1639" s="2">
        <v>2</v>
      </c>
      <c r="S1639" s="9">
        <v>8</v>
      </c>
      <c r="T1639" s="10">
        <f t="shared" si="431"/>
        <v>8</v>
      </c>
      <c r="U1639" s="9">
        <v>0</v>
      </c>
      <c r="V1639" s="10">
        <f t="shared" si="432"/>
        <v>8</v>
      </c>
      <c r="W1639" s="4" t="s">
        <v>122</v>
      </c>
      <c r="X1639" s="2"/>
      <c r="Y1639" s="11">
        <v>2</v>
      </c>
      <c r="Z1639" s="12">
        <f t="shared" si="433"/>
        <v>0</v>
      </c>
      <c r="AA1639" s="4" t="s">
        <v>120</v>
      </c>
      <c r="AC1639" s="176">
        <f t="shared" si="412"/>
        <v>0</v>
      </c>
    </row>
    <row r="1640" spans="2:29">
      <c r="B1640" s="183">
        <f t="shared" si="418"/>
        <v>48</v>
      </c>
      <c r="C1640" s="107" t="str">
        <f t="shared" si="419"/>
        <v>ATK</v>
      </c>
      <c r="D1640" s="2" t="s">
        <v>5234</v>
      </c>
      <c r="E1640" s="3">
        <v>44082</v>
      </c>
      <c r="F1640" s="3">
        <v>44158</v>
      </c>
      <c r="G1640" s="108">
        <f t="shared" si="420"/>
        <v>11</v>
      </c>
      <c r="H1640" s="108" t="str">
        <f t="shared" si="421"/>
        <v>Other</v>
      </c>
      <c r="I1640" s="112" t="s">
        <v>5235</v>
      </c>
      <c r="J1640" s="4" t="s">
        <v>5236</v>
      </c>
      <c r="K1640" s="5" t="s">
        <v>805</v>
      </c>
      <c r="L1640" s="6" t="str">
        <f t="shared" si="434"/>
        <v>5T1</v>
      </c>
      <c r="M1640" s="13" t="s">
        <v>270</v>
      </c>
      <c r="N1640" s="7" t="s">
        <v>5237</v>
      </c>
      <c r="O1640" s="13" t="s">
        <v>270</v>
      </c>
      <c r="P1640" s="115" t="s">
        <v>5238</v>
      </c>
      <c r="Q1640" s="8" t="s">
        <v>5239</v>
      </c>
      <c r="R1640" s="2">
        <v>1</v>
      </c>
      <c r="S1640" s="9">
        <v>0</v>
      </c>
      <c r="T1640" s="10">
        <v>0</v>
      </c>
      <c r="U1640" s="9">
        <v>0</v>
      </c>
      <c r="V1640" s="10">
        <f t="shared" si="432"/>
        <v>0</v>
      </c>
      <c r="W1640" s="4" t="s">
        <v>5240</v>
      </c>
      <c r="X1640" s="2"/>
      <c r="Y1640" s="11">
        <v>1</v>
      </c>
      <c r="Z1640" s="12">
        <f t="shared" si="433"/>
        <v>76</v>
      </c>
      <c r="AA1640" s="4" t="s">
        <v>5241</v>
      </c>
      <c r="AC1640" s="176">
        <f t="shared" si="412"/>
        <v>0</v>
      </c>
    </row>
    <row r="1641" spans="2:29">
      <c r="B1641" s="183">
        <f t="shared" si="418"/>
        <v>48</v>
      </c>
      <c r="C1641" s="107" t="str">
        <f t="shared" si="419"/>
        <v>ATK</v>
      </c>
      <c r="D1641" s="2" t="s">
        <v>5242</v>
      </c>
      <c r="E1641" s="3">
        <v>44054</v>
      </c>
      <c r="F1641" s="3">
        <v>44158</v>
      </c>
      <c r="G1641" s="108">
        <f t="shared" si="420"/>
        <v>11</v>
      </c>
      <c r="H1641" s="108" t="str">
        <f t="shared" si="421"/>
        <v>Other</v>
      </c>
      <c r="I1641" s="112" t="s">
        <v>5235</v>
      </c>
      <c r="J1641" s="4" t="s">
        <v>5243</v>
      </c>
      <c r="K1641" s="5" t="s">
        <v>5245</v>
      </c>
      <c r="L1641" s="6" t="str">
        <f t="shared" si="434"/>
        <v>3T3</v>
      </c>
      <c r="M1641" s="13" t="s">
        <v>270</v>
      </c>
      <c r="N1641" s="7" t="s">
        <v>5244</v>
      </c>
      <c r="O1641" s="13" t="s">
        <v>270</v>
      </c>
      <c r="P1641" s="115" t="s">
        <v>5246</v>
      </c>
      <c r="Q1641" s="8" t="s">
        <v>5247</v>
      </c>
      <c r="R1641" s="2">
        <v>1</v>
      </c>
      <c r="S1641" s="9">
        <v>0</v>
      </c>
      <c r="T1641" s="10">
        <f t="shared" si="431"/>
        <v>0</v>
      </c>
      <c r="U1641" s="9">
        <v>0</v>
      </c>
      <c r="V1641" s="10">
        <f t="shared" si="432"/>
        <v>0</v>
      </c>
      <c r="W1641" s="4" t="s">
        <v>5240</v>
      </c>
      <c r="X1641" s="2"/>
      <c r="Y1641" s="11">
        <v>1</v>
      </c>
      <c r="Z1641" s="12">
        <f t="shared" si="433"/>
        <v>104</v>
      </c>
      <c r="AA1641" s="4" t="s">
        <v>5241</v>
      </c>
      <c r="AC1641" s="176">
        <f t="shared" si="412"/>
        <v>0</v>
      </c>
    </row>
    <row r="1642" spans="2:29">
      <c r="B1642" s="183">
        <f t="shared" si="418"/>
        <v>48</v>
      </c>
      <c r="C1642" s="107" t="str">
        <f t="shared" si="419"/>
        <v>ATK</v>
      </c>
      <c r="D1642" s="2" t="s">
        <v>3293</v>
      </c>
      <c r="E1642" s="3">
        <v>44159</v>
      </c>
      <c r="F1642" s="3">
        <v>44159</v>
      </c>
      <c r="G1642" s="108">
        <f t="shared" si="420"/>
        <v>11</v>
      </c>
      <c r="H1642" s="108" t="str">
        <f t="shared" si="421"/>
        <v>Other</v>
      </c>
      <c r="I1642" s="112" t="s">
        <v>31</v>
      </c>
      <c r="J1642" s="4" t="s">
        <v>31</v>
      </c>
      <c r="K1642" s="5" t="s">
        <v>31</v>
      </c>
      <c r="L1642" s="6" t="str">
        <f t="shared" si="434"/>
        <v>Oth</v>
      </c>
      <c r="M1642" s="13" t="s">
        <v>3293</v>
      </c>
      <c r="N1642" s="7" t="s">
        <v>5191</v>
      </c>
      <c r="O1642" s="13" t="s">
        <v>226</v>
      </c>
      <c r="P1642" s="115" t="s">
        <v>5248</v>
      </c>
      <c r="Q1642" s="8"/>
      <c r="R1642" s="2">
        <v>1</v>
      </c>
      <c r="S1642" s="9">
        <v>0</v>
      </c>
      <c r="T1642" s="10">
        <f t="shared" si="431"/>
        <v>0</v>
      </c>
      <c r="U1642" s="9">
        <v>0</v>
      </c>
      <c r="V1642" s="10">
        <f t="shared" si="432"/>
        <v>0</v>
      </c>
      <c r="W1642" s="4" t="s">
        <v>249</v>
      </c>
      <c r="X1642" s="2"/>
      <c r="Y1642" s="11">
        <v>1</v>
      </c>
      <c r="Z1642" s="12">
        <f t="shared" si="433"/>
        <v>0</v>
      </c>
      <c r="AA1642" s="4" t="s">
        <v>174</v>
      </c>
      <c r="AC1642" s="176">
        <f t="shared" si="412"/>
        <v>0</v>
      </c>
    </row>
    <row r="1643" spans="2:29">
      <c r="B1643" s="183">
        <f t="shared" si="418"/>
        <v>48</v>
      </c>
      <c r="C1643" s="107" t="str">
        <f t="shared" si="419"/>
        <v>ATK</v>
      </c>
      <c r="D1643" s="2" t="s">
        <v>3293</v>
      </c>
      <c r="E1643" s="3">
        <v>44159</v>
      </c>
      <c r="F1643" s="3">
        <v>44159</v>
      </c>
      <c r="G1643" s="108">
        <f t="shared" si="420"/>
        <v>11</v>
      </c>
      <c r="H1643" s="108" t="str">
        <f t="shared" si="421"/>
        <v>Other</v>
      </c>
      <c r="I1643" s="112" t="s">
        <v>251</v>
      </c>
      <c r="J1643" s="4" t="s">
        <v>31</v>
      </c>
      <c r="K1643" s="5" t="s">
        <v>31</v>
      </c>
      <c r="L1643" s="6" t="str">
        <f t="shared" si="434"/>
        <v>Oth</v>
      </c>
      <c r="M1643" s="13" t="s">
        <v>3293</v>
      </c>
      <c r="N1643" s="7" t="s">
        <v>5191</v>
      </c>
      <c r="O1643" s="13" t="s">
        <v>226</v>
      </c>
      <c r="P1643" s="115" t="s">
        <v>5222</v>
      </c>
      <c r="Q1643" s="8"/>
      <c r="R1643" s="2">
        <v>1</v>
      </c>
      <c r="S1643" s="9">
        <v>0</v>
      </c>
      <c r="T1643" s="10">
        <f t="shared" si="431"/>
        <v>0</v>
      </c>
      <c r="U1643" s="9">
        <v>0</v>
      </c>
      <c r="V1643" s="10">
        <f t="shared" si="432"/>
        <v>0</v>
      </c>
      <c r="W1643" s="4" t="s">
        <v>249</v>
      </c>
      <c r="X1643" s="2"/>
      <c r="Y1643" s="11">
        <v>1</v>
      </c>
      <c r="Z1643" s="12">
        <f t="shared" si="433"/>
        <v>0</v>
      </c>
      <c r="AA1643" s="4" t="s">
        <v>30</v>
      </c>
      <c r="AC1643" s="176">
        <f t="shared" si="412"/>
        <v>0</v>
      </c>
    </row>
    <row r="1644" spans="2:29">
      <c r="B1644" s="183">
        <f t="shared" si="418"/>
        <v>52</v>
      </c>
      <c r="C1644" s="107" t="str">
        <f t="shared" si="419"/>
        <v>ATK</v>
      </c>
      <c r="D1644" s="2" t="s">
        <v>724</v>
      </c>
      <c r="E1644" s="3">
        <v>44159</v>
      </c>
      <c r="F1644" s="3">
        <v>44186</v>
      </c>
      <c r="G1644" s="108">
        <f t="shared" si="420"/>
        <v>12</v>
      </c>
      <c r="H1644" s="108" t="str">
        <f t="shared" si="421"/>
        <v>완료</v>
      </c>
      <c r="I1644" s="112" t="s">
        <v>218</v>
      </c>
      <c r="J1644" s="4" t="s">
        <v>121</v>
      </c>
      <c r="K1644" s="5" t="s">
        <v>136</v>
      </c>
      <c r="L1644" s="6" t="str">
        <f t="shared" si="434"/>
        <v>5T1</v>
      </c>
      <c r="M1644" s="13" t="s">
        <v>1563</v>
      </c>
      <c r="N1644" s="7" t="s">
        <v>5249</v>
      </c>
      <c r="O1644" s="13" t="s">
        <v>4414</v>
      </c>
      <c r="P1644" s="115" t="s">
        <v>5585</v>
      </c>
      <c r="Q1644" s="8" t="s">
        <v>5250</v>
      </c>
      <c r="R1644" s="2">
        <v>1</v>
      </c>
      <c r="S1644" s="9">
        <v>5000</v>
      </c>
      <c r="T1644" s="10">
        <f t="shared" si="431"/>
        <v>2500</v>
      </c>
      <c r="U1644" s="9"/>
      <c r="V1644" s="10">
        <f t="shared" si="432"/>
        <v>2500</v>
      </c>
      <c r="W1644" s="4" t="s">
        <v>122</v>
      </c>
      <c r="X1644" s="2"/>
      <c r="Y1644" s="11">
        <v>2</v>
      </c>
      <c r="Z1644" s="12">
        <f t="shared" si="433"/>
        <v>27</v>
      </c>
      <c r="AA1644" s="4" t="s">
        <v>120</v>
      </c>
      <c r="AC1644" s="176">
        <f t="shared" si="412"/>
        <v>0</v>
      </c>
    </row>
    <row r="1645" spans="2:29">
      <c r="B1645" s="183">
        <f t="shared" si="418"/>
        <v>48</v>
      </c>
      <c r="C1645" s="107" t="str">
        <f t="shared" si="419"/>
        <v>ATK</v>
      </c>
      <c r="D1645" s="2" t="s">
        <v>764</v>
      </c>
      <c r="E1645" s="3">
        <v>44159</v>
      </c>
      <c r="F1645" s="3">
        <v>44159</v>
      </c>
      <c r="G1645" s="108">
        <f t="shared" si="420"/>
        <v>11</v>
      </c>
      <c r="H1645" s="108" t="str">
        <f t="shared" si="421"/>
        <v>완료</v>
      </c>
      <c r="I1645" s="112" t="s">
        <v>218</v>
      </c>
      <c r="J1645" s="4" t="s">
        <v>118</v>
      </c>
      <c r="K1645" s="5" t="s">
        <v>119</v>
      </c>
      <c r="L1645" s="6" t="str">
        <f t="shared" si="434"/>
        <v>2T3</v>
      </c>
      <c r="M1645" s="13" t="s">
        <v>1773</v>
      </c>
      <c r="N1645" s="7" t="s">
        <v>4557</v>
      </c>
      <c r="O1645" s="7" t="s">
        <v>1741</v>
      </c>
      <c r="P1645" s="115" t="s">
        <v>5251</v>
      </c>
      <c r="Q1645" s="8" t="s">
        <v>5252</v>
      </c>
      <c r="R1645" s="2">
        <v>1</v>
      </c>
      <c r="S1645" s="9">
        <v>1200</v>
      </c>
      <c r="T1645" s="10">
        <f t="shared" si="431"/>
        <v>600</v>
      </c>
      <c r="U1645" s="9">
        <v>1</v>
      </c>
      <c r="V1645" s="10">
        <f t="shared" si="432"/>
        <v>599</v>
      </c>
      <c r="W1645" s="4" t="s">
        <v>122</v>
      </c>
      <c r="X1645" s="2"/>
      <c r="Y1645" s="11">
        <v>4</v>
      </c>
      <c r="Z1645" s="12">
        <f t="shared" si="433"/>
        <v>0</v>
      </c>
      <c r="AA1645" s="4" t="s">
        <v>120</v>
      </c>
      <c r="AC1645" s="176">
        <f t="shared" si="412"/>
        <v>9.0909090909090909E-4</v>
      </c>
    </row>
    <row r="1646" spans="2:29">
      <c r="B1646" s="183">
        <f t="shared" si="418"/>
        <v>48</v>
      </c>
      <c r="C1646" s="107" t="str">
        <f t="shared" si="419"/>
        <v>ATK</v>
      </c>
      <c r="D1646" s="2" t="s">
        <v>250</v>
      </c>
      <c r="E1646" s="3">
        <v>44159</v>
      </c>
      <c r="F1646" s="3">
        <v>44159</v>
      </c>
      <c r="G1646" s="108">
        <f t="shared" si="420"/>
        <v>11</v>
      </c>
      <c r="H1646" s="108" t="str">
        <f t="shared" si="421"/>
        <v>Other</v>
      </c>
      <c r="I1646" s="112" t="s">
        <v>251</v>
      </c>
      <c r="J1646" s="4" t="s">
        <v>251</v>
      </c>
      <c r="K1646" s="5" t="s">
        <v>251</v>
      </c>
      <c r="L1646" s="6" t="s">
        <v>5223</v>
      </c>
      <c r="M1646" s="13" t="s">
        <v>5224</v>
      </c>
      <c r="N1646" s="7" t="s">
        <v>3952</v>
      </c>
      <c r="O1646" s="13" t="s">
        <v>5226</v>
      </c>
      <c r="P1646" s="115" t="s">
        <v>5227</v>
      </c>
      <c r="Q1646" s="8"/>
      <c r="R1646" s="2">
        <v>1</v>
      </c>
      <c r="S1646" s="9">
        <v>0</v>
      </c>
      <c r="T1646" s="10">
        <v>0</v>
      </c>
      <c r="U1646" s="9">
        <v>0</v>
      </c>
      <c r="V1646" s="10">
        <v>0</v>
      </c>
      <c r="W1646" s="4" t="s">
        <v>122</v>
      </c>
      <c r="X1646" s="2"/>
      <c r="Y1646" s="11">
        <v>2</v>
      </c>
      <c r="Z1646" s="12">
        <v>0</v>
      </c>
      <c r="AA1646" s="4" t="s">
        <v>130</v>
      </c>
      <c r="AC1646" s="176">
        <f t="shared" si="412"/>
        <v>0</v>
      </c>
    </row>
    <row r="1647" spans="2:29">
      <c r="B1647" s="183">
        <f t="shared" si="418"/>
        <v>48</v>
      </c>
      <c r="C1647" s="107" t="str">
        <f t="shared" si="419"/>
        <v>ATK</v>
      </c>
      <c r="D1647" s="2" t="s">
        <v>250</v>
      </c>
      <c r="E1647" s="3">
        <v>44159</v>
      </c>
      <c r="F1647" s="3">
        <v>44159</v>
      </c>
      <c r="G1647" s="108">
        <f t="shared" si="420"/>
        <v>11</v>
      </c>
      <c r="H1647" s="108" t="str">
        <f t="shared" si="421"/>
        <v>Other</v>
      </c>
      <c r="I1647" s="112" t="s">
        <v>251</v>
      </c>
      <c r="J1647" s="4" t="s">
        <v>251</v>
      </c>
      <c r="K1647" s="5" t="s">
        <v>251</v>
      </c>
      <c r="L1647" s="6" t="s">
        <v>5223</v>
      </c>
      <c r="M1647" s="13" t="s">
        <v>5224</v>
      </c>
      <c r="N1647" s="7" t="s">
        <v>3952</v>
      </c>
      <c r="O1647" s="13" t="s">
        <v>5226</v>
      </c>
      <c r="P1647" s="115" t="s">
        <v>5227</v>
      </c>
      <c r="Q1647" s="8"/>
      <c r="R1647" s="2">
        <v>1</v>
      </c>
      <c r="S1647" s="9">
        <v>0</v>
      </c>
      <c r="T1647" s="10">
        <v>0</v>
      </c>
      <c r="U1647" s="9">
        <v>0</v>
      </c>
      <c r="V1647" s="10">
        <v>0</v>
      </c>
      <c r="W1647" s="4" t="s">
        <v>122</v>
      </c>
      <c r="X1647" s="2"/>
      <c r="Y1647" s="11">
        <v>2</v>
      </c>
      <c r="Z1647" s="12">
        <v>0</v>
      </c>
      <c r="AA1647" s="4" t="s">
        <v>174</v>
      </c>
      <c r="AC1647" s="176">
        <f t="shared" si="412"/>
        <v>0</v>
      </c>
    </row>
    <row r="1648" spans="2:29">
      <c r="B1648" s="183">
        <f t="shared" si="418"/>
        <v>49</v>
      </c>
      <c r="C1648" s="107" t="str">
        <f t="shared" si="419"/>
        <v>ATK</v>
      </c>
      <c r="D1648" s="2" t="s">
        <v>280</v>
      </c>
      <c r="E1648" s="3">
        <v>44158</v>
      </c>
      <c r="F1648" s="3">
        <v>44167</v>
      </c>
      <c r="G1648" s="108">
        <f t="shared" si="420"/>
        <v>12</v>
      </c>
      <c r="H1648" s="108" t="str">
        <f t="shared" si="421"/>
        <v>수리불가</v>
      </c>
      <c r="I1648" s="112" t="s">
        <v>601</v>
      </c>
      <c r="J1648" s="4" t="s">
        <v>281</v>
      </c>
      <c r="K1648" s="5" t="s">
        <v>282</v>
      </c>
      <c r="L1648" s="6" t="str">
        <f t="shared" ref="L1648:L1649" si="439">LEFT(K1648,3)</f>
        <v>EE1</v>
      </c>
      <c r="M1648" s="13" t="s">
        <v>216</v>
      </c>
      <c r="N1648" s="7" t="s">
        <v>3558</v>
      </c>
      <c r="O1648" s="7" t="s">
        <v>571</v>
      </c>
      <c r="P1648" s="115" t="s">
        <v>300</v>
      </c>
      <c r="Q1648" s="8" t="s">
        <v>500</v>
      </c>
      <c r="R1648" s="2">
        <v>1</v>
      </c>
      <c r="S1648" s="9">
        <v>500</v>
      </c>
      <c r="T1648" s="10">
        <f t="shared" ref="T1648:T1649" si="440">(S1648*50)/100*R1648</f>
        <v>250</v>
      </c>
      <c r="U1648" s="9">
        <v>0</v>
      </c>
      <c r="V1648" s="10">
        <f t="shared" ref="V1648:V1649" si="441">T1648-U1648</f>
        <v>250</v>
      </c>
      <c r="W1648" s="4" t="s">
        <v>122</v>
      </c>
      <c r="X1648" s="2"/>
      <c r="Y1648" s="11">
        <v>1</v>
      </c>
      <c r="Z1648" s="12">
        <f t="shared" ref="Z1648:Z1649" si="442">F1648-E1648</f>
        <v>9</v>
      </c>
      <c r="AA1648" s="4" t="s">
        <v>30</v>
      </c>
      <c r="AC1648" s="176">
        <f t="shared" si="412"/>
        <v>0</v>
      </c>
    </row>
    <row r="1649" spans="2:29">
      <c r="B1649" s="183">
        <f t="shared" si="418"/>
        <v>48</v>
      </c>
      <c r="C1649" s="107" t="str">
        <f t="shared" si="419"/>
        <v>ATK</v>
      </c>
      <c r="D1649" s="2" t="s">
        <v>541</v>
      </c>
      <c r="E1649" s="3">
        <v>44159</v>
      </c>
      <c r="F1649" s="3">
        <v>44161</v>
      </c>
      <c r="G1649" s="108">
        <f t="shared" si="420"/>
        <v>11</v>
      </c>
      <c r="H1649" s="108" t="str">
        <f t="shared" si="421"/>
        <v>완료</v>
      </c>
      <c r="I1649" s="112" t="s">
        <v>264</v>
      </c>
      <c r="J1649" s="4" t="s">
        <v>265</v>
      </c>
      <c r="K1649" s="5" t="s">
        <v>298</v>
      </c>
      <c r="L1649" s="6" t="str">
        <f t="shared" si="439"/>
        <v>3T1</v>
      </c>
      <c r="M1649" s="13" t="s">
        <v>270</v>
      </c>
      <c r="N1649" s="7" t="s">
        <v>3837</v>
      </c>
      <c r="O1649" s="13" t="s">
        <v>270</v>
      </c>
      <c r="P1649" s="115" t="s">
        <v>271</v>
      </c>
      <c r="Q1649" s="8"/>
      <c r="R1649" s="2">
        <v>1</v>
      </c>
      <c r="S1649" s="9">
        <v>1380</v>
      </c>
      <c r="T1649" s="10">
        <f t="shared" si="440"/>
        <v>690</v>
      </c>
      <c r="U1649" s="9">
        <v>0</v>
      </c>
      <c r="V1649" s="10">
        <f t="shared" si="441"/>
        <v>690</v>
      </c>
      <c r="W1649" s="4" t="s">
        <v>249</v>
      </c>
      <c r="X1649" s="2"/>
      <c r="Y1649" s="11">
        <v>3</v>
      </c>
      <c r="Z1649" s="12">
        <f t="shared" si="442"/>
        <v>2</v>
      </c>
      <c r="AA1649" s="4" t="s">
        <v>174</v>
      </c>
      <c r="AC1649" s="176">
        <f t="shared" ref="AC1649:AC1708" si="443">U1649/1100</f>
        <v>0</v>
      </c>
    </row>
    <row r="1650" spans="2:29">
      <c r="B1650" s="183">
        <f t="shared" si="418"/>
        <v>48</v>
      </c>
      <c r="C1650" s="107" t="str">
        <f t="shared" si="419"/>
        <v>ATK</v>
      </c>
      <c r="D1650" s="2" t="s">
        <v>455</v>
      </c>
      <c r="E1650" s="3">
        <v>44159</v>
      </c>
      <c r="F1650" s="3">
        <v>44159</v>
      </c>
      <c r="G1650" s="108">
        <f t="shared" si="420"/>
        <v>11</v>
      </c>
      <c r="H1650" s="108" t="str">
        <f t="shared" si="421"/>
        <v>완료</v>
      </c>
      <c r="I1650" s="112" t="s">
        <v>218</v>
      </c>
      <c r="J1650" s="4" t="s">
        <v>118</v>
      </c>
      <c r="K1650" s="5" t="s">
        <v>119</v>
      </c>
      <c r="L1650" s="6" t="str">
        <f t="shared" ref="L1650:M1702" si="444">LEFT(K1650,3)</f>
        <v>2T3</v>
      </c>
      <c r="M1650" s="13" t="s">
        <v>1024</v>
      </c>
      <c r="N1650" s="7" t="s">
        <v>5254</v>
      </c>
      <c r="O1650" s="13" t="s">
        <v>5256</v>
      </c>
      <c r="P1650" s="115" t="s">
        <v>5258</v>
      </c>
      <c r="Q1650" s="8"/>
      <c r="R1650" s="2">
        <v>1</v>
      </c>
      <c r="S1650" s="9">
        <v>1200</v>
      </c>
      <c r="T1650" s="10">
        <f t="shared" ref="T1650:T1716" si="445">(S1650*50)/100*R1650</f>
        <v>600</v>
      </c>
      <c r="U1650" s="9">
        <v>20</v>
      </c>
      <c r="V1650" s="10">
        <f t="shared" ref="V1650:V1716" si="446">T1650-U1650</f>
        <v>580</v>
      </c>
      <c r="W1650" s="4" t="s">
        <v>122</v>
      </c>
      <c r="X1650" s="2"/>
      <c r="Y1650" s="11">
        <v>4</v>
      </c>
      <c r="Z1650" s="12">
        <f t="shared" ref="Z1650:Z1716" si="447">F1650-E1650</f>
        <v>0</v>
      </c>
      <c r="AA1650" s="4" t="s">
        <v>212</v>
      </c>
      <c r="AC1650" s="176">
        <f t="shared" si="443"/>
        <v>1.8181818181818181E-2</v>
      </c>
    </row>
    <row r="1651" spans="2:29">
      <c r="B1651" s="183">
        <f t="shared" si="418"/>
        <v>48</v>
      </c>
      <c r="C1651" s="107" t="str">
        <f t="shared" si="419"/>
        <v>ATK</v>
      </c>
      <c r="D1651" s="2" t="s">
        <v>455</v>
      </c>
      <c r="E1651" s="3">
        <v>44159</v>
      </c>
      <c r="F1651" s="3">
        <v>44159</v>
      </c>
      <c r="G1651" s="108">
        <f t="shared" si="420"/>
        <v>11</v>
      </c>
      <c r="H1651" s="108" t="str">
        <f t="shared" si="421"/>
        <v>완료</v>
      </c>
      <c r="I1651" s="112" t="s">
        <v>218</v>
      </c>
      <c r="J1651" s="4" t="s">
        <v>118</v>
      </c>
      <c r="K1651" s="5" t="s">
        <v>119</v>
      </c>
      <c r="L1651" s="6" t="str">
        <f t="shared" si="444"/>
        <v>2T3</v>
      </c>
      <c r="M1651" s="13" t="s">
        <v>1024</v>
      </c>
      <c r="N1651" s="7" t="s">
        <v>5255</v>
      </c>
      <c r="O1651" s="13" t="s">
        <v>5256</v>
      </c>
      <c r="P1651" s="115" t="s">
        <v>5257</v>
      </c>
      <c r="Q1651" s="8"/>
      <c r="R1651" s="2">
        <v>1</v>
      </c>
      <c r="S1651" s="9">
        <v>1200</v>
      </c>
      <c r="T1651" s="10">
        <f t="shared" si="445"/>
        <v>600</v>
      </c>
      <c r="U1651" s="9">
        <v>25</v>
      </c>
      <c r="V1651" s="10">
        <f t="shared" si="446"/>
        <v>575</v>
      </c>
      <c r="W1651" s="4" t="s">
        <v>122</v>
      </c>
      <c r="X1651" s="2"/>
      <c r="Y1651" s="11">
        <v>4</v>
      </c>
      <c r="Z1651" s="12">
        <f t="shared" si="447"/>
        <v>0</v>
      </c>
      <c r="AA1651" s="4" t="s">
        <v>212</v>
      </c>
      <c r="AC1651" s="176">
        <f t="shared" si="443"/>
        <v>2.2727272727272728E-2</v>
      </c>
    </row>
    <row r="1652" spans="2:29">
      <c r="B1652" s="183">
        <f t="shared" si="418"/>
        <v>48</v>
      </c>
      <c r="C1652" s="107" t="str">
        <f t="shared" si="419"/>
        <v>ATK</v>
      </c>
      <c r="D1652" s="2" t="s">
        <v>3293</v>
      </c>
      <c r="E1652" s="3">
        <v>44160</v>
      </c>
      <c r="F1652" s="3">
        <v>44160</v>
      </c>
      <c r="G1652" s="108">
        <f t="shared" si="420"/>
        <v>11</v>
      </c>
      <c r="H1652" s="108" t="str">
        <f t="shared" si="421"/>
        <v>Other</v>
      </c>
      <c r="I1652" s="112" t="s">
        <v>31</v>
      </c>
      <c r="J1652" s="4" t="s">
        <v>31</v>
      </c>
      <c r="K1652" s="5" t="s">
        <v>31</v>
      </c>
      <c r="L1652" s="6" t="str">
        <f t="shared" si="444"/>
        <v>Oth</v>
      </c>
      <c r="M1652" s="13" t="s">
        <v>3293</v>
      </c>
      <c r="N1652" s="7" t="s">
        <v>5191</v>
      </c>
      <c r="O1652" s="13" t="s">
        <v>226</v>
      </c>
      <c r="P1652" s="115" t="s">
        <v>5261</v>
      </c>
      <c r="Q1652" s="8"/>
      <c r="R1652" s="2">
        <v>1</v>
      </c>
      <c r="S1652" s="9">
        <v>0</v>
      </c>
      <c r="T1652" s="10">
        <f t="shared" si="445"/>
        <v>0</v>
      </c>
      <c r="U1652" s="9">
        <v>0</v>
      </c>
      <c r="V1652" s="10">
        <f t="shared" si="446"/>
        <v>0</v>
      </c>
      <c r="W1652" s="4" t="s">
        <v>249</v>
      </c>
      <c r="X1652" s="2"/>
      <c r="Y1652" s="11">
        <v>1</v>
      </c>
      <c r="Z1652" s="12">
        <f t="shared" si="447"/>
        <v>0</v>
      </c>
      <c r="AA1652" s="4" t="s">
        <v>174</v>
      </c>
      <c r="AC1652" s="176">
        <f t="shared" si="443"/>
        <v>0</v>
      </c>
    </row>
    <row r="1653" spans="2:29">
      <c r="B1653" s="183">
        <f t="shared" si="418"/>
        <v>48</v>
      </c>
      <c r="C1653" s="107" t="str">
        <f t="shared" si="419"/>
        <v>ATK</v>
      </c>
      <c r="D1653" s="2" t="s">
        <v>3293</v>
      </c>
      <c r="E1653" s="3">
        <v>44160</v>
      </c>
      <c r="F1653" s="3">
        <v>44160</v>
      </c>
      <c r="G1653" s="108">
        <f t="shared" si="420"/>
        <v>11</v>
      </c>
      <c r="H1653" s="108" t="str">
        <f t="shared" si="421"/>
        <v>Other</v>
      </c>
      <c r="I1653" s="112" t="s">
        <v>251</v>
      </c>
      <c r="J1653" s="4" t="s">
        <v>31</v>
      </c>
      <c r="K1653" s="5" t="s">
        <v>31</v>
      </c>
      <c r="L1653" s="6" t="str">
        <f t="shared" si="444"/>
        <v>Oth</v>
      </c>
      <c r="M1653" s="13" t="s">
        <v>3293</v>
      </c>
      <c r="N1653" s="7" t="s">
        <v>5191</v>
      </c>
      <c r="O1653" s="13" t="s">
        <v>226</v>
      </c>
      <c r="P1653" s="115" t="s">
        <v>5261</v>
      </c>
      <c r="Q1653" s="8"/>
      <c r="R1653" s="2">
        <v>1</v>
      </c>
      <c r="S1653" s="9">
        <v>0</v>
      </c>
      <c r="T1653" s="10">
        <f t="shared" si="445"/>
        <v>0</v>
      </c>
      <c r="U1653" s="9">
        <v>0</v>
      </c>
      <c r="V1653" s="10">
        <f t="shared" si="446"/>
        <v>0</v>
      </c>
      <c r="W1653" s="4" t="s">
        <v>249</v>
      </c>
      <c r="X1653" s="2"/>
      <c r="Y1653" s="11">
        <v>1</v>
      </c>
      <c r="Z1653" s="12">
        <f t="shared" si="447"/>
        <v>0</v>
      </c>
      <c r="AA1653" s="4" t="s">
        <v>30</v>
      </c>
      <c r="AC1653" s="176">
        <f t="shared" si="443"/>
        <v>0</v>
      </c>
    </row>
    <row r="1654" spans="2:29">
      <c r="B1654" s="183">
        <f t="shared" si="418"/>
        <v>48</v>
      </c>
      <c r="C1654" s="107" t="str">
        <f t="shared" si="419"/>
        <v>ATK</v>
      </c>
      <c r="D1654" s="2" t="s">
        <v>250</v>
      </c>
      <c r="E1654" s="3">
        <v>44160</v>
      </c>
      <c r="F1654" s="3">
        <v>44160</v>
      </c>
      <c r="G1654" s="108">
        <f t="shared" si="420"/>
        <v>11</v>
      </c>
      <c r="H1654" s="108" t="str">
        <f t="shared" si="421"/>
        <v>Other</v>
      </c>
      <c r="I1654" s="112" t="s">
        <v>251</v>
      </c>
      <c r="J1654" s="4" t="s">
        <v>251</v>
      </c>
      <c r="K1654" s="4" t="s">
        <v>251</v>
      </c>
      <c r="L1654" s="6" t="str">
        <f t="shared" si="444"/>
        <v>Oth</v>
      </c>
      <c r="M1654" s="13" t="s">
        <v>5168</v>
      </c>
      <c r="N1654" s="7" t="s">
        <v>5002</v>
      </c>
      <c r="O1654" s="13" t="s">
        <v>5262</v>
      </c>
      <c r="P1654" s="115" t="s">
        <v>5263</v>
      </c>
      <c r="Q1654" s="8"/>
      <c r="R1654" s="2">
        <v>1</v>
      </c>
      <c r="S1654" s="9">
        <v>0</v>
      </c>
      <c r="T1654" s="10">
        <f t="shared" si="445"/>
        <v>0</v>
      </c>
      <c r="U1654" s="9">
        <v>0</v>
      </c>
      <c r="V1654" s="10">
        <f t="shared" si="446"/>
        <v>0</v>
      </c>
      <c r="W1654" s="4" t="s">
        <v>122</v>
      </c>
      <c r="X1654" s="2"/>
      <c r="Y1654" s="11">
        <v>3</v>
      </c>
      <c r="Z1654" s="12">
        <f t="shared" si="447"/>
        <v>0</v>
      </c>
      <c r="AA1654" s="4" t="s">
        <v>30</v>
      </c>
      <c r="AC1654" s="176">
        <f t="shared" si="443"/>
        <v>0</v>
      </c>
    </row>
    <row r="1655" spans="2:29">
      <c r="B1655" s="183">
        <f t="shared" si="418"/>
        <v>48</v>
      </c>
      <c r="C1655" s="107" t="str">
        <f t="shared" si="419"/>
        <v>ATK</v>
      </c>
      <c r="D1655" s="2" t="s">
        <v>250</v>
      </c>
      <c r="E1655" s="3">
        <v>44160</v>
      </c>
      <c r="F1655" s="3">
        <v>44160</v>
      </c>
      <c r="G1655" s="108">
        <f t="shared" si="420"/>
        <v>11</v>
      </c>
      <c r="H1655" s="108" t="str">
        <f t="shared" si="421"/>
        <v>Other</v>
      </c>
      <c r="I1655" s="112" t="s">
        <v>251</v>
      </c>
      <c r="J1655" s="4" t="s">
        <v>251</v>
      </c>
      <c r="K1655" s="4" t="s">
        <v>251</v>
      </c>
      <c r="L1655" s="6" t="str">
        <f t="shared" si="444"/>
        <v>Oth</v>
      </c>
      <c r="M1655" s="13" t="s">
        <v>5168</v>
      </c>
      <c r="N1655" s="7" t="s">
        <v>5002</v>
      </c>
      <c r="O1655" s="13" t="s">
        <v>5262</v>
      </c>
      <c r="P1655" s="115" t="s">
        <v>5263</v>
      </c>
      <c r="Q1655" s="8"/>
      <c r="R1655" s="2">
        <v>1</v>
      </c>
      <c r="S1655" s="9">
        <v>0</v>
      </c>
      <c r="T1655" s="10">
        <f t="shared" si="445"/>
        <v>0</v>
      </c>
      <c r="U1655" s="9">
        <v>0</v>
      </c>
      <c r="V1655" s="10">
        <f t="shared" si="446"/>
        <v>0</v>
      </c>
      <c r="W1655" s="4" t="s">
        <v>122</v>
      </c>
      <c r="X1655" s="2"/>
      <c r="Y1655" s="11">
        <v>3</v>
      </c>
      <c r="Z1655" s="12">
        <f t="shared" si="447"/>
        <v>0</v>
      </c>
      <c r="AA1655" s="4" t="s">
        <v>27</v>
      </c>
      <c r="AC1655" s="176">
        <f t="shared" si="443"/>
        <v>0</v>
      </c>
    </row>
    <row r="1656" spans="2:29">
      <c r="B1656" s="183">
        <f t="shared" si="418"/>
        <v>48</v>
      </c>
      <c r="C1656" s="107" t="str">
        <f t="shared" si="419"/>
        <v>ATK</v>
      </c>
      <c r="D1656" s="2" t="s">
        <v>250</v>
      </c>
      <c r="E1656" s="3">
        <v>44160</v>
      </c>
      <c r="F1656" s="3">
        <v>44160</v>
      </c>
      <c r="G1656" s="108">
        <f t="shared" si="420"/>
        <v>11</v>
      </c>
      <c r="H1656" s="108" t="str">
        <f t="shared" si="421"/>
        <v>Other</v>
      </c>
      <c r="I1656" s="112" t="s">
        <v>251</v>
      </c>
      <c r="J1656" s="4" t="s">
        <v>251</v>
      </c>
      <c r="K1656" s="4" t="s">
        <v>251</v>
      </c>
      <c r="L1656" s="6" t="str">
        <f t="shared" ref="L1656" si="448">LEFT(K1656,3)</f>
        <v>Oth</v>
      </c>
      <c r="M1656" s="13" t="s">
        <v>5168</v>
      </c>
      <c r="N1656" s="7" t="s">
        <v>5002</v>
      </c>
      <c r="O1656" s="13" t="s">
        <v>5262</v>
      </c>
      <c r="P1656" s="115" t="s">
        <v>5263</v>
      </c>
      <c r="Q1656" s="8"/>
      <c r="R1656" s="2">
        <v>1</v>
      </c>
      <c r="S1656" s="9">
        <v>0</v>
      </c>
      <c r="T1656" s="10">
        <f t="shared" ref="T1656" si="449">(S1656*50)/100*R1656</f>
        <v>0</v>
      </c>
      <c r="U1656" s="9">
        <v>0</v>
      </c>
      <c r="V1656" s="10">
        <f t="shared" ref="V1656" si="450">T1656-U1656</f>
        <v>0</v>
      </c>
      <c r="W1656" s="4" t="s">
        <v>122</v>
      </c>
      <c r="X1656" s="2"/>
      <c r="Y1656" s="11">
        <v>3</v>
      </c>
      <c r="Z1656" s="12">
        <f t="shared" ref="Z1656" si="451">F1656-E1656</f>
        <v>0</v>
      </c>
      <c r="AA1656" s="4" t="s">
        <v>174</v>
      </c>
      <c r="AC1656" s="176">
        <f t="shared" si="443"/>
        <v>0</v>
      </c>
    </row>
    <row r="1657" spans="2:29">
      <c r="B1657" s="183">
        <f t="shared" si="418"/>
        <v>48</v>
      </c>
      <c r="C1657" s="107" t="str">
        <f t="shared" si="419"/>
        <v>ATK</v>
      </c>
      <c r="D1657" s="2" t="s">
        <v>221</v>
      </c>
      <c r="E1657" s="3">
        <v>44160</v>
      </c>
      <c r="F1657" s="3">
        <v>44160</v>
      </c>
      <c r="G1657" s="108">
        <f t="shared" si="420"/>
        <v>11</v>
      </c>
      <c r="H1657" s="108" t="str">
        <f t="shared" si="421"/>
        <v>완료</v>
      </c>
      <c r="I1657" s="112" t="s">
        <v>218</v>
      </c>
      <c r="J1657" s="4" t="s">
        <v>234</v>
      </c>
      <c r="K1657" s="5" t="s">
        <v>751</v>
      </c>
      <c r="L1657" s="6" t="str">
        <f t="shared" si="444"/>
        <v>Bum</v>
      </c>
      <c r="M1657" s="13" t="s">
        <v>1713</v>
      </c>
      <c r="N1657" s="7" t="s">
        <v>226</v>
      </c>
      <c r="O1657" s="13" t="s">
        <v>5264</v>
      </c>
      <c r="P1657" s="115" t="s">
        <v>5265</v>
      </c>
      <c r="Q1657" s="8"/>
      <c r="R1657" s="2">
        <v>3</v>
      </c>
      <c r="S1657" s="9">
        <v>500</v>
      </c>
      <c r="T1657" s="10">
        <f t="shared" si="445"/>
        <v>750</v>
      </c>
      <c r="U1657" s="9">
        <v>0</v>
      </c>
      <c r="V1657" s="10">
        <f t="shared" si="446"/>
        <v>750</v>
      </c>
      <c r="W1657" s="4" t="s">
        <v>122</v>
      </c>
      <c r="X1657" s="2"/>
      <c r="Y1657" s="11">
        <v>3</v>
      </c>
      <c r="Z1657" s="12">
        <f t="shared" si="447"/>
        <v>0</v>
      </c>
      <c r="AA1657" s="4" t="s">
        <v>27</v>
      </c>
      <c r="AC1657" s="176">
        <f t="shared" si="443"/>
        <v>0</v>
      </c>
    </row>
    <row r="1658" spans="2:29">
      <c r="B1658" s="183">
        <f t="shared" si="418"/>
        <v>48</v>
      </c>
      <c r="C1658" s="107" t="str">
        <f t="shared" si="419"/>
        <v>ATK</v>
      </c>
      <c r="D1658" s="2" t="s">
        <v>222</v>
      </c>
      <c r="E1658" s="3">
        <v>44137</v>
      </c>
      <c r="F1658" s="3">
        <v>44160</v>
      </c>
      <c r="G1658" s="108">
        <f t="shared" si="420"/>
        <v>11</v>
      </c>
      <c r="H1658" s="108" t="str">
        <f t="shared" si="421"/>
        <v>완료</v>
      </c>
      <c r="I1658" s="112" t="s">
        <v>218</v>
      </c>
      <c r="J1658" s="4" t="s">
        <v>132</v>
      </c>
      <c r="K1658" s="5" t="s">
        <v>133</v>
      </c>
      <c r="L1658" s="6" t="str">
        <f t="shared" si="444"/>
        <v>3T3</v>
      </c>
      <c r="M1658" s="13" t="s">
        <v>5266</v>
      </c>
      <c r="N1658" s="7" t="s">
        <v>230</v>
      </c>
      <c r="O1658" s="13" t="s">
        <v>275</v>
      </c>
      <c r="P1658" s="115" t="s">
        <v>5267</v>
      </c>
      <c r="Q1658" s="8"/>
      <c r="R1658" s="2">
        <v>1</v>
      </c>
      <c r="S1658" s="9">
        <v>1500</v>
      </c>
      <c r="T1658" s="10">
        <f t="shared" si="445"/>
        <v>750</v>
      </c>
      <c r="U1658" s="9">
        <v>40</v>
      </c>
      <c r="V1658" s="10">
        <f t="shared" si="446"/>
        <v>710</v>
      </c>
      <c r="W1658" s="4" t="s">
        <v>122</v>
      </c>
      <c r="X1658" s="2"/>
      <c r="Y1658" s="11">
        <v>8</v>
      </c>
      <c r="Z1658" s="12">
        <f t="shared" si="447"/>
        <v>23</v>
      </c>
      <c r="AA1658" s="4" t="s">
        <v>27</v>
      </c>
      <c r="AC1658" s="176">
        <f t="shared" si="443"/>
        <v>3.6363636363636362E-2</v>
      </c>
    </row>
    <row r="1659" spans="2:29">
      <c r="B1659" s="183">
        <f t="shared" si="418"/>
        <v>48</v>
      </c>
      <c r="C1659" s="107" t="str">
        <f t="shared" si="419"/>
        <v>ATK</v>
      </c>
      <c r="D1659" s="2" t="s">
        <v>312</v>
      </c>
      <c r="E1659" s="3">
        <v>44160</v>
      </c>
      <c r="F1659" s="3">
        <v>44161</v>
      </c>
      <c r="G1659" s="108">
        <f t="shared" si="420"/>
        <v>11</v>
      </c>
      <c r="H1659" s="108" t="str">
        <f t="shared" si="421"/>
        <v>완료</v>
      </c>
      <c r="I1659" s="112" t="s">
        <v>218</v>
      </c>
      <c r="J1659" s="4" t="s">
        <v>481</v>
      </c>
      <c r="K1659" s="5" t="s">
        <v>621</v>
      </c>
      <c r="L1659" s="6" t="str">
        <f t="shared" si="444"/>
        <v>2T3</v>
      </c>
      <c r="M1659" s="13" t="s">
        <v>4536</v>
      </c>
      <c r="N1659" s="7" t="s">
        <v>4134</v>
      </c>
      <c r="O1659" s="13" t="s">
        <v>370</v>
      </c>
      <c r="P1659" s="115" t="s">
        <v>5268</v>
      </c>
      <c r="Q1659" s="8"/>
      <c r="R1659" s="2">
        <v>3</v>
      </c>
      <c r="S1659" s="9">
        <v>1600</v>
      </c>
      <c r="T1659" s="10">
        <f t="shared" si="445"/>
        <v>2400</v>
      </c>
      <c r="U1659" s="9">
        <v>30</v>
      </c>
      <c r="V1659" s="10">
        <f t="shared" si="446"/>
        <v>2370</v>
      </c>
      <c r="W1659" s="4" t="s">
        <v>122</v>
      </c>
      <c r="X1659" s="2"/>
      <c r="Y1659" s="11">
        <v>4</v>
      </c>
      <c r="Z1659" s="12">
        <f t="shared" si="447"/>
        <v>1</v>
      </c>
      <c r="AA1659" s="4" t="s">
        <v>27</v>
      </c>
      <c r="AC1659" s="176">
        <f t="shared" si="443"/>
        <v>2.7272727272727271E-2</v>
      </c>
    </row>
    <row r="1660" spans="2:29">
      <c r="B1660" s="183">
        <f t="shared" si="418"/>
        <v>48</v>
      </c>
      <c r="C1660" s="107" t="str">
        <f t="shared" si="419"/>
        <v>ATK</v>
      </c>
      <c r="D1660" s="2" t="s">
        <v>5269</v>
      </c>
      <c r="E1660" s="3">
        <v>44160</v>
      </c>
      <c r="F1660" s="3">
        <v>44160</v>
      </c>
      <c r="G1660" s="108">
        <f t="shared" si="420"/>
        <v>11</v>
      </c>
      <c r="H1660" s="108" t="str">
        <f t="shared" si="421"/>
        <v>완료</v>
      </c>
      <c r="I1660" s="112" t="s">
        <v>218</v>
      </c>
      <c r="J1660" s="4" t="s">
        <v>132</v>
      </c>
      <c r="K1660" s="5" t="s">
        <v>143</v>
      </c>
      <c r="L1660" s="6" t="str">
        <f t="shared" si="444"/>
        <v>3T4</v>
      </c>
      <c r="M1660" s="13" t="s">
        <v>216</v>
      </c>
      <c r="N1660" s="7" t="s">
        <v>5270</v>
      </c>
      <c r="O1660" s="13" t="s">
        <v>225</v>
      </c>
      <c r="P1660" s="115" t="s">
        <v>5271</v>
      </c>
      <c r="Q1660" s="8"/>
      <c r="R1660" s="2">
        <v>1</v>
      </c>
      <c r="S1660" s="9">
        <v>3000</v>
      </c>
      <c r="T1660" s="10">
        <f t="shared" si="445"/>
        <v>1500</v>
      </c>
      <c r="U1660" s="9">
        <v>20</v>
      </c>
      <c r="V1660" s="10">
        <f t="shared" si="446"/>
        <v>1480</v>
      </c>
      <c r="W1660" s="4" t="s">
        <v>122</v>
      </c>
      <c r="X1660" s="2"/>
      <c r="Y1660" s="11">
        <v>1</v>
      </c>
      <c r="Z1660" s="12">
        <f t="shared" si="447"/>
        <v>0</v>
      </c>
      <c r="AA1660" s="4" t="s">
        <v>117</v>
      </c>
      <c r="AC1660" s="176">
        <f t="shared" si="443"/>
        <v>1.8181818181818181E-2</v>
      </c>
    </row>
    <row r="1661" spans="2:29">
      <c r="B1661" s="183">
        <f t="shared" si="418"/>
        <v>48</v>
      </c>
      <c r="C1661" s="107" t="str">
        <f t="shared" si="419"/>
        <v>ATK</v>
      </c>
      <c r="D1661" s="2" t="s">
        <v>5272</v>
      </c>
      <c r="E1661" s="3">
        <v>44161</v>
      </c>
      <c r="F1661" s="3">
        <v>44161</v>
      </c>
      <c r="G1661" s="108">
        <f t="shared" si="420"/>
        <v>11</v>
      </c>
      <c r="H1661" s="108" t="str">
        <f t="shared" si="421"/>
        <v>완료</v>
      </c>
      <c r="I1661" s="112" t="s">
        <v>218</v>
      </c>
      <c r="J1661" s="4" t="s">
        <v>5273</v>
      </c>
      <c r="K1661" s="5" t="s">
        <v>5274</v>
      </c>
      <c r="L1661" s="6" t="str">
        <f t="shared" si="444"/>
        <v>EE1</v>
      </c>
      <c r="M1661" s="13" t="s">
        <v>158</v>
      </c>
      <c r="N1661" s="7" t="s">
        <v>5275</v>
      </c>
      <c r="O1661" s="13" t="s">
        <v>275</v>
      </c>
      <c r="P1661" s="115"/>
      <c r="Q1661" s="8"/>
      <c r="R1661" s="2">
        <v>1</v>
      </c>
      <c r="S1661" s="9">
        <v>1200</v>
      </c>
      <c r="T1661" s="10">
        <f t="shared" si="445"/>
        <v>600</v>
      </c>
      <c r="U1661" s="9">
        <v>200</v>
      </c>
      <c r="V1661" s="10">
        <f t="shared" si="446"/>
        <v>400</v>
      </c>
      <c r="W1661" s="4" t="s">
        <v>249</v>
      </c>
      <c r="X1661" s="2"/>
      <c r="Y1661" s="11">
        <v>1</v>
      </c>
      <c r="Z1661" s="12">
        <f t="shared" si="447"/>
        <v>0</v>
      </c>
      <c r="AA1661" s="4" t="s">
        <v>174</v>
      </c>
      <c r="AC1661" s="176">
        <f t="shared" si="443"/>
        <v>0.18181818181818182</v>
      </c>
    </row>
    <row r="1662" spans="2:29">
      <c r="B1662" s="183">
        <f t="shared" si="418"/>
        <v>48</v>
      </c>
      <c r="C1662" s="107" t="str">
        <f t="shared" si="419"/>
        <v>ATK</v>
      </c>
      <c r="D1662" s="2" t="s">
        <v>3293</v>
      </c>
      <c r="E1662" s="3">
        <v>44161</v>
      </c>
      <c r="F1662" s="3">
        <v>44161</v>
      </c>
      <c r="G1662" s="108">
        <f t="shared" si="420"/>
        <v>11</v>
      </c>
      <c r="H1662" s="108" t="str">
        <f t="shared" si="421"/>
        <v>Other</v>
      </c>
      <c r="I1662" s="112" t="s">
        <v>31</v>
      </c>
      <c r="J1662" s="4" t="s">
        <v>31</v>
      </c>
      <c r="K1662" s="5" t="s">
        <v>31</v>
      </c>
      <c r="L1662" s="6" t="str">
        <f t="shared" ref="L1662:L1666" si="452">LEFT(K1662,3)</f>
        <v>Oth</v>
      </c>
      <c r="M1662" s="13" t="s">
        <v>3293</v>
      </c>
      <c r="N1662" s="7" t="s">
        <v>5191</v>
      </c>
      <c r="O1662" s="13" t="s">
        <v>226</v>
      </c>
      <c r="P1662" s="115" t="s">
        <v>5276</v>
      </c>
      <c r="Q1662" s="8"/>
      <c r="R1662" s="2">
        <v>1</v>
      </c>
      <c r="S1662" s="9">
        <v>0</v>
      </c>
      <c r="T1662" s="10">
        <f t="shared" ref="T1662:T1664" si="453">(S1662*50)/100*R1662</f>
        <v>0</v>
      </c>
      <c r="U1662" s="9">
        <v>0</v>
      </c>
      <c r="V1662" s="10">
        <f t="shared" ref="V1662:V1664" si="454">T1662-U1662</f>
        <v>0</v>
      </c>
      <c r="W1662" s="4" t="s">
        <v>249</v>
      </c>
      <c r="X1662" s="2"/>
      <c r="Y1662" s="11">
        <v>1</v>
      </c>
      <c r="Z1662" s="12">
        <f t="shared" ref="Z1662:Z1663" si="455">F1662-E1662</f>
        <v>0</v>
      </c>
      <c r="AA1662" s="4" t="s">
        <v>174</v>
      </c>
      <c r="AC1662" s="176">
        <f t="shared" si="443"/>
        <v>0</v>
      </c>
    </row>
    <row r="1663" spans="2:29">
      <c r="B1663" s="183">
        <f t="shared" si="418"/>
        <v>48</v>
      </c>
      <c r="C1663" s="107" t="str">
        <f t="shared" si="419"/>
        <v>ATK</v>
      </c>
      <c r="D1663" s="2" t="s">
        <v>3293</v>
      </c>
      <c r="E1663" s="3">
        <v>44161</v>
      </c>
      <c r="F1663" s="3">
        <v>44161</v>
      </c>
      <c r="G1663" s="108">
        <f t="shared" si="420"/>
        <v>11</v>
      </c>
      <c r="H1663" s="108" t="str">
        <f t="shared" si="421"/>
        <v>Other</v>
      </c>
      <c r="I1663" s="112" t="s">
        <v>251</v>
      </c>
      <c r="J1663" s="4" t="s">
        <v>31</v>
      </c>
      <c r="K1663" s="5" t="s">
        <v>31</v>
      </c>
      <c r="L1663" s="6" t="str">
        <f t="shared" si="452"/>
        <v>Oth</v>
      </c>
      <c r="M1663" s="13" t="s">
        <v>3293</v>
      </c>
      <c r="N1663" s="7" t="s">
        <v>5191</v>
      </c>
      <c r="O1663" s="13" t="s">
        <v>226</v>
      </c>
      <c r="P1663" s="115" t="s">
        <v>5276</v>
      </c>
      <c r="Q1663" s="8"/>
      <c r="R1663" s="2">
        <v>1</v>
      </c>
      <c r="S1663" s="9">
        <v>0</v>
      </c>
      <c r="T1663" s="10">
        <f t="shared" si="453"/>
        <v>0</v>
      </c>
      <c r="U1663" s="9">
        <v>0</v>
      </c>
      <c r="V1663" s="10">
        <f t="shared" si="454"/>
        <v>0</v>
      </c>
      <c r="W1663" s="4" t="s">
        <v>249</v>
      </c>
      <c r="X1663" s="2"/>
      <c r="Y1663" s="11">
        <v>1</v>
      </c>
      <c r="Z1663" s="12">
        <f t="shared" si="455"/>
        <v>0</v>
      </c>
      <c r="AA1663" s="4" t="s">
        <v>30</v>
      </c>
      <c r="AC1663" s="176">
        <f t="shared" si="443"/>
        <v>0</v>
      </c>
    </row>
    <row r="1664" spans="2:29">
      <c r="B1664" s="183">
        <f t="shared" si="418"/>
        <v>48</v>
      </c>
      <c r="C1664" s="107" t="str">
        <f t="shared" si="419"/>
        <v>ATK</v>
      </c>
      <c r="D1664" s="2" t="s">
        <v>764</v>
      </c>
      <c r="E1664" s="3">
        <v>44161</v>
      </c>
      <c r="F1664" s="3">
        <v>44161</v>
      </c>
      <c r="G1664" s="108">
        <f t="shared" si="420"/>
        <v>11</v>
      </c>
      <c r="H1664" s="108" t="str">
        <f t="shared" si="421"/>
        <v>완료</v>
      </c>
      <c r="I1664" s="112" t="s">
        <v>218</v>
      </c>
      <c r="J1664" s="4" t="s">
        <v>118</v>
      </c>
      <c r="K1664" s="5" t="s">
        <v>119</v>
      </c>
      <c r="L1664" s="6" t="str">
        <f t="shared" ref="L1664" si="456">LEFT(K1664,3)</f>
        <v>2T3</v>
      </c>
      <c r="M1664" s="13" t="s">
        <v>1773</v>
      </c>
      <c r="N1664" s="7" t="s">
        <v>786</v>
      </c>
      <c r="O1664" s="13" t="s">
        <v>284</v>
      </c>
      <c r="P1664" s="115" t="s">
        <v>5279</v>
      </c>
      <c r="Q1664" s="8"/>
      <c r="R1664" s="2">
        <v>1</v>
      </c>
      <c r="S1664" s="9">
        <v>1000</v>
      </c>
      <c r="T1664" s="10">
        <f t="shared" si="453"/>
        <v>500</v>
      </c>
      <c r="U1664" s="9">
        <v>0</v>
      </c>
      <c r="V1664" s="10">
        <f t="shared" si="454"/>
        <v>500</v>
      </c>
      <c r="W1664" s="4" t="s">
        <v>122</v>
      </c>
      <c r="X1664" s="2"/>
      <c r="Y1664" s="11">
        <v>1</v>
      </c>
      <c r="Z1664" s="12"/>
      <c r="AA1664" s="4" t="s">
        <v>212</v>
      </c>
      <c r="AC1664" s="176">
        <f t="shared" si="443"/>
        <v>0</v>
      </c>
    </row>
    <row r="1665" spans="2:29">
      <c r="B1665" s="183">
        <f t="shared" ref="B1665:B1722" si="457">IF(F1665&gt;0,IFERROR(WEEKNUM(F1665),""),"")</f>
        <v>48</v>
      </c>
      <c r="C1665" s="107" t="str">
        <f t="shared" ref="C1665:C1722" si="458">IF(D1665=0,"",(IF(LEFT(D1665,3)="ATK","ATK",IF(LEFT(D1665,2)="AT",D1665,"ATK"))))</f>
        <v>ATK</v>
      </c>
      <c r="D1665" s="2" t="s">
        <v>764</v>
      </c>
      <c r="E1665" s="3">
        <v>44161</v>
      </c>
      <c r="F1665" s="3">
        <v>44162</v>
      </c>
      <c r="G1665" s="108">
        <f t="shared" ref="G1665:G1722" si="459">IF(F1665&gt;0,MONTH(F1665),"")</f>
        <v>11</v>
      </c>
      <c r="H1665" s="108" t="str">
        <f t="shared" ref="H1665:H1722" si="460">IF(I1665=0,"",IF(RIGHT(I1665,2)="완료","완료",IF(RIGHT(I1665,2)="불가","수리불가",IF(RIGHT(I1665,1)="중","수리중","Other"))))</f>
        <v>완료</v>
      </c>
      <c r="I1665" s="112" t="s">
        <v>218</v>
      </c>
      <c r="J1665" s="4" t="s">
        <v>118</v>
      </c>
      <c r="K1665" s="5" t="s">
        <v>119</v>
      </c>
      <c r="L1665" s="6" t="str">
        <f t="shared" si="452"/>
        <v>2T3</v>
      </c>
      <c r="M1665" s="13" t="s">
        <v>1773</v>
      </c>
      <c r="N1665" s="7" t="s">
        <v>5278</v>
      </c>
      <c r="O1665" s="7" t="s">
        <v>5277</v>
      </c>
      <c r="P1665" s="115" t="s">
        <v>5306</v>
      </c>
      <c r="Q1665" s="8"/>
      <c r="R1665" s="2">
        <v>1</v>
      </c>
      <c r="S1665" s="9">
        <v>500</v>
      </c>
      <c r="T1665" s="10">
        <f t="shared" si="445"/>
        <v>250</v>
      </c>
      <c r="U1665" s="9">
        <v>0</v>
      </c>
      <c r="V1665" s="10">
        <f t="shared" si="446"/>
        <v>250</v>
      </c>
      <c r="W1665" s="4" t="s">
        <v>122</v>
      </c>
      <c r="X1665" s="2"/>
      <c r="Y1665" s="11">
        <v>4</v>
      </c>
      <c r="Z1665" s="12">
        <f t="shared" si="447"/>
        <v>1</v>
      </c>
      <c r="AA1665" s="4" t="s">
        <v>212</v>
      </c>
      <c r="AC1665" s="176">
        <f t="shared" si="443"/>
        <v>0</v>
      </c>
    </row>
    <row r="1666" spans="2:29">
      <c r="B1666" s="183">
        <f t="shared" si="457"/>
        <v>48</v>
      </c>
      <c r="C1666" s="107" t="str">
        <f t="shared" si="458"/>
        <v>ATK</v>
      </c>
      <c r="D1666" s="2" t="s">
        <v>764</v>
      </c>
      <c r="E1666" s="3">
        <v>44161</v>
      </c>
      <c r="F1666" s="3">
        <v>44161</v>
      </c>
      <c r="G1666" s="108">
        <f t="shared" si="459"/>
        <v>11</v>
      </c>
      <c r="H1666" s="108" t="str">
        <f t="shared" si="460"/>
        <v>완료</v>
      </c>
      <c r="I1666" s="112" t="s">
        <v>218</v>
      </c>
      <c r="J1666" s="4" t="s">
        <v>118</v>
      </c>
      <c r="K1666" s="5" t="s">
        <v>119</v>
      </c>
      <c r="L1666" s="6" t="str">
        <f t="shared" si="452"/>
        <v>2T3</v>
      </c>
      <c r="M1666" s="13" t="s">
        <v>1773</v>
      </c>
      <c r="N1666" s="7" t="s">
        <v>786</v>
      </c>
      <c r="O1666" s="13" t="s">
        <v>284</v>
      </c>
      <c r="P1666" s="115" t="s">
        <v>5307</v>
      </c>
      <c r="Q1666" s="8"/>
      <c r="R1666" s="2">
        <v>1</v>
      </c>
      <c r="S1666" s="9">
        <v>1000</v>
      </c>
      <c r="T1666" s="10">
        <f t="shared" si="445"/>
        <v>500</v>
      </c>
      <c r="U1666" s="9">
        <v>5</v>
      </c>
      <c r="V1666" s="10">
        <f t="shared" si="446"/>
        <v>495</v>
      </c>
      <c r="W1666" s="4" t="s">
        <v>122</v>
      </c>
      <c r="X1666" s="2"/>
      <c r="Y1666" s="11">
        <v>4</v>
      </c>
      <c r="Z1666" s="12">
        <f>F1666-E1666</f>
        <v>0</v>
      </c>
      <c r="AA1666" s="4" t="s">
        <v>212</v>
      </c>
      <c r="AC1666" s="176">
        <f t="shared" si="443"/>
        <v>4.5454545454545452E-3</v>
      </c>
    </row>
    <row r="1667" spans="2:29">
      <c r="B1667" s="183">
        <f t="shared" si="457"/>
        <v>48</v>
      </c>
      <c r="C1667" s="107" t="str">
        <f t="shared" si="458"/>
        <v>ATK</v>
      </c>
      <c r="D1667" s="2" t="s">
        <v>1579</v>
      </c>
      <c r="E1667" s="3">
        <v>44161</v>
      </c>
      <c r="F1667" s="3">
        <v>44161</v>
      </c>
      <c r="G1667" s="108">
        <f t="shared" si="459"/>
        <v>11</v>
      </c>
      <c r="H1667" s="108" t="str">
        <f t="shared" si="460"/>
        <v>완료</v>
      </c>
      <c r="I1667" s="112" t="s">
        <v>218</v>
      </c>
      <c r="J1667" s="4" t="s">
        <v>121</v>
      </c>
      <c r="K1667" s="5" t="s">
        <v>136</v>
      </c>
      <c r="L1667" s="6" t="str">
        <f t="shared" si="444"/>
        <v>5T1</v>
      </c>
      <c r="M1667" s="13" t="s">
        <v>5280</v>
      </c>
      <c r="N1667" s="7" t="s">
        <v>4138</v>
      </c>
      <c r="O1667" s="13" t="s">
        <v>543</v>
      </c>
      <c r="P1667" s="115" t="s">
        <v>5281</v>
      </c>
      <c r="Q1667" s="8" t="s">
        <v>5282</v>
      </c>
      <c r="R1667" s="2">
        <v>1</v>
      </c>
      <c r="S1667" s="9">
        <v>600</v>
      </c>
      <c r="T1667" s="10">
        <f t="shared" si="445"/>
        <v>300</v>
      </c>
      <c r="U1667" s="9">
        <v>2</v>
      </c>
      <c r="V1667" s="10">
        <f t="shared" si="446"/>
        <v>298</v>
      </c>
      <c r="W1667" s="4" t="s">
        <v>122</v>
      </c>
      <c r="X1667" s="2"/>
      <c r="Y1667" s="11">
        <v>3</v>
      </c>
      <c r="Z1667" s="12">
        <f t="shared" si="447"/>
        <v>0</v>
      </c>
      <c r="AA1667" s="4" t="s">
        <v>120</v>
      </c>
      <c r="AC1667" s="176">
        <f t="shared" si="443"/>
        <v>1.8181818181818182E-3</v>
      </c>
    </row>
    <row r="1668" spans="2:29">
      <c r="B1668" s="183">
        <f t="shared" si="457"/>
        <v>48</v>
      </c>
      <c r="C1668" s="107" t="str">
        <f t="shared" si="458"/>
        <v>ATK</v>
      </c>
      <c r="D1668" s="2" t="s">
        <v>5283</v>
      </c>
      <c r="E1668" s="3">
        <v>44161</v>
      </c>
      <c r="F1668" s="3">
        <v>44161</v>
      </c>
      <c r="G1668" s="108">
        <f t="shared" si="459"/>
        <v>11</v>
      </c>
      <c r="H1668" s="108" t="str">
        <f t="shared" si="460"/>
        <v>완료</v>
      </c>
      <c r="I1668" s="112" t="s">
        <v>218</v>
      </c>
      <c r="J1668" s="4" t="s">
        <v>132</v>
      </c>
      <c r="K1668" s="5" t="s">
        <v>322</v>
      </c>
      <c r="L1668" s="6" t="str">
        <f t="shared" si="444"/>
        <v>3T1</v>
      </c>
      <c r="M1668" s="13" t="s">
        <v>216</v>
      </c>
      <c r="N1668" s="7"/>
      <c r="O1668" s="13" t="s">
        <v>5284</v>
      </c>
      <c r="P1668" s="115"/>
      <c r="Q1668" s="8"/>
      <c r="R1668" s="2">
        <v>1</v>
      </c>
      <c r="S1668" s="9">
        <v>1500</v>
      </c>
      <c r="T1668" s="10">
        <f t="shared" si="445"/>
        <v>750</v>
      </c>
      <c r="U1668" s="9">
        <v>0</v>
      </c>
      <c r="V1668" s="10">
        <f t="shared" si="446"/>
        <v>750</v>
      </c>
      <c r="W1668" s="4" t="s">
        <v>122</v>
      </c>
      <c r="X1668" s="2"/>
      <c r="Y1668" s="11">
        <v>2</v>
      </c>
      <c r="Z1668" s="12">
        <f t="shared" si="447"/>
        <v>0</v>
      </c>
      <c r="AA1668" s="4" t="s">
        <v>117</v>
      </c>
      <c r="AC1668" s="176">
        <f t="shared" si="443"/>
        <v>0</v>
      </c>
    </row>
    <row r="1669" spans="2:29">
      <c r="B1669" s="183">
        <f t="shared" si="457"/>
        <v>49</v>
      </c>
      <c r="C1669" s="107" t="str">
        <f t="shared" si="458"/>
        <v>ATK</v>
      </c>
      <c r="D1669" s="2" t="s">
        <v>335</v>
      </c>
      <c r="E1669" s="3">
        <v>44161</v>
      </c>
      <c r="F1669" s="3">
        <v>44168</v>
      </c>
      <c r="G1669" s="108">
        <f t="shared" si="459"/>
        <v>12</v>
      </c>
      <c r="H1669" s="108" t="str">
        <f t="shared" si="460"/>
        <v>완료</v>
      </c>
      <c r="I1669" s="112" t="s">
        <v>218</v>
      </c>
      <c r="J1669" s="4" t="s">
        <v>132</v>
      </c>
      <c r="K1669" s="5" t="s">
        <v>143</v>
      </c>
      <c r="L1669" s="6" t="str">
        <f t="shared" si="444"/>
        <v>3T4</v>
      </c>
      <c r="M1669" s="13" t="s">
        <v>216</v>
      </c>
      <c r="N1669" s="7" t="s">
        <v>5285</v>
      </c>
      <c r="O1669" s="13" t="s">
        <v>5286</v>
      </c>
      <c r="P1669" s="115"/>
      <c r="Q1669" s="8"/>
      <c r="R1669" s="2">
        <v>1</v>
      </c>
      <c r="S1669" s="9">
        <v>500</v>
      </c>
      <c r="T1669" s="10">
        <f t="shared" si="445"/>
        <v>250</v>
      </c>
      <c r="U1669" s="9">
        <v>2</v>
      </c>
      <c r="V1669" s="10">
        <f t="shared" si="446"/>
        <v>248</v>
      </c>
      <c r="W1669" s="4" t="s">
        <v>122</v>
      </c>
      <c r="X1669" s="2"/>
      <c r="Y1669" s="11">
        <v>1</v>
      </c>
      <c r="Z1669" s="12">
        <f t="shared" si="447"/>
        <v>7</v>
      </c>
      <c r="AA1669" s="4" t="s">
        <v>117</v>
      </c>
      <c r="AC1669" s="176">
        <f t="shared" si="443"/>
        <v>1.8181818181818182E-3</v>
      </c>
    </row>
    <row r="1670" spans="2:29">
      <c r="B1670" s="183">
        <f t="shared" si="457"/>
        <v>50</v>
      </c>
      <c r="C1670" s="107" t="str">
        <f t="shared" si="458"/>
        <v>ATK</v>
      </c>
      <c r="D1670" s="2" t="s">
        <v>837</v>
      </c>
      <c r="E1670" s="3">
        <v>44161</v>
      </c>
      <c r="F1670" s="3">
        <v>44176</v>
      </c>
      <c r="G1670" s="108">
        <f t="shared" si="459"/>
        <v>12</v>
      </c>
      <c r="H1670" s="108" t="str">
        <f t="shared" si="460"/>
        <v>완료</v>
      </c>
      <c r="I1670" s="112" t="s">
        <v>218</v>
      </c>
      <c r="J1670" s="4" t="s">
        <v>5287</v>
      </c>
      <c r="K1670" s="5" t="s">
        <v>5288</v>
      </c>
      <c r="L1670" s="6" t="str">
        <f t="shared" si="444"/>
        <v>EE2</v>
      </c>
      <c r="M1670" s="13" t="s">
        <v>256</v>
      </c>
      <c r="N1670" s="7" t="s">
        <v>3529</v>
      </c>
      <c r="O1670" s="13" t="s">
        <v>602</v>
      </c>
      <c r="P1670" s="115" t="s">
        <v>330</v>
      </c>
      <c r="Q1670" s="8"/>
      <c r="R1670" s="2">
        <v>1</v>
      </c>
      <c r="S1670" s="9">
        <v>4500</v>
      </c>
      <c r="T1670" s="10">
        <f t="shared" si="445"/>
        <v>2250</v>
      </c>
      <c r="U1670" s="9">
        <v>30</v>
      </c>
      <c r="V1670" s="10">
        <f t="shared" si="446"/>
        <v>2220</v>
      </c>
      <c r="W1670" s="4" t="s">
        <v>122</v>
      </c>
      <c r="X1670" s="2"/>
      <c r="Y1670" s="11">
        <v>6</v>
      </c>
      <c r="Z1670" s="12">
        <f t="shared" si="447"/>
        <v>15</v>
      </c>
      <c r="AA1670" s="4" t="s">
        <v>348</v>
      </c>
      <c r="AC1670" s="176">
        <f t="shared" si="443"/>
        <v>2.7272727272727271E-2</v>
      </c>
    </row>
    <row r="1671" spans="2:29">
      <c r="B1671" s="183">
        <f t="shared" si="457"/>
        <v>48</v>
      </c>
      <c r="C1671" s="107" t="str">
        <f t="shared" si="458"/>
        <v>ATK</v>
      </c>
      <c r="D1671" s="2" t="s">
        <v>1306</v>
      </c>
      <c r="E1671" s="3">
        <v>44161</v>
      </c>
      <c r="F1671" s="3">
        <v>44161</v>
      </c>
      <c r="G1671" s="108">
        <f t="shared" si="459"/>
        <v>11</v>
      </c>
      <c r="H1671" s="108" t="str">
        <f t="shared" si="460"/>
        <v>Other</v>
      </c>
      <c r="I1671" s="112" t="s">
        <v>5297</v>
      </c>
      <c r="J1671" s="4" t="s">
        <v>5298</v>
      </c>
      <c r="K1671" s="5" t="s">
        <v>5299</v>
      </c>
      <c r="L1671" s="6" t="str">
        <f t="shared" si="444"/>
        <v>5T1</v>
      </c>
      <c r="M1671" s="13" t="s">
        <v>5300</v>
      </c>
      <c r="N1671" s="7" t="s">
        <v>5301</v>
      </c>
      <c r="O1671" s="13" t="s">
        <v>5300</v>
      </c>
      <c r="P1671" s="115" t="s">
        <v>5302</v>
      </c>
      <c r="Q1671" s="8"/>
      <c r="R1671" s="2">
        <v>1</v>
      </c>
      <c r="S1671" s="9">
        <v>1500</v>
      </c>
      <c r="T1671" s="10">
        <f t="shared" si="445"/>
        <v>750</v>
      </c>
      <c r="U1671" s="9">
        <v>0</v>
      </c>
      <c r="V1671" s="10">
        <f t="shared" si="446"/>
        <v>750</v>
      </c>
      <c r="W1671" s="4" t="s">
        <v>5303</v>
      </c>
      <c r="X1671" s="2"/>
      <c r="Y1671" s="11">
        <v>1</v>
      </c>
      <c r="Z1671" s="12">
        <f t="shared" si="447"/>
        <v>0</v>
      </c>
      <c r="AA1671" s="4" t="s">
        <v>5304</v>
      </c>
      <c r="AC1671" s="176">
        <f t="shared" si="443"/>
        <v>0</v>
      </c>
    </row>
    <row r="1672" spans="2:29">
      <c r="B1672" s="183">
        <f t="shared" si="457"/>
        <v>48</v>
      </c>
      <c r="C1672" s="107" t="str">
        <f t="shared" si="458"/>
        <v>ATK</v>
      </c>
      <c r="D1672" s="2" t="s">
        <v>664</v>
      </c>
      <c r="E1672" s="3">
        <v>44161</v>
      </c>
      <c r="F1672" s="3">
        <v>44162</v>
      </c>
      <c r="G1672" s="108">
        <f t="shared" si="459"/>
        <v>11</v>
      </c>
      <c r="H1672" s="108" t="str">
        <f t="shared" si="460"/>
        <v>완료</v>
      </c>
      <c r="I1672" s="112" t="s">
        <v>5316</v>
      </c>
      <c r="J1672" s="4" t="s">
        <v>808</v>
      </c>
      <c r="K1672" s="5" t="s">
        <v>833</v>
      </c>
      <c r="L1672" s="6" t="str">
        <f t="shared" si="444"/>
        <v>1T3</v>
      </c>
      <c r="M1672" s="13" t="s">
        <v>4536</v>
      </c>
      <c r="N1672" s="7" t="s">
        <v>3529</v>
      </c>
      <c r="O1672" s="13" t="s">
        <v>5289</v>
      </c>
      <c r="P1672" s="115" t="s">
        <v>5290</v>
      </c>
      <c r="Q1672" s="8"/>
      <c r="R1672" s="2">
        <v>1</v>
      </c>
      <c r="S1672" s="9">
        <v>3500</v>
      </c>
      <c r="T1672" s="10">
        <f t="shared" si="445"/>
        <v>1750</v>
      </c>
      <c r="U1672" s="9">
        <v>5</v>
      </c>
      <c r="V1672" s="10">
        <f t="shared" si="446"/>
        <v>1745</v>
      </c>
      <c r="W1672" s="4" t="s">
        <v>5317</v>
      </c>
      <c r="X1672" s="2"/>
      <c r="Y1672" s="11">
        <v>3</v>
      </c>
      <c r="Z1672" s="12">
        <f t="shared" si="447"/>
        <v>1</v>
      </c>
      <c r="AA1672" s="4" t="s">
        <v>5318</v>
      </c>
      <c r="AC1672" s="176">
        <f t="shared" si="443"/>
        <v>4.5454545454545452E-3</v>
      </c>
    </row>
    <row r="1673" spans="2:29">
      <c r="B1673" s="183">
        <f t="shared" si="457"/>
        <v>50</v>
      </c>
      <c r="C1673" s="107" t="str">
        <f t="shared" si="458"/>
        <v>ATK</v>
      </c>
      <c r="D1673" s="2" t="s">
        <v>280</v>
      </c>
      <c r="E1673" s="3">
        <v>44160</v>
      </c>
      <c r="F1673" s="3">
        <v>44176</v>
      </c>
      <c r="G1673" s="108">
        <f t="shared" si="459"/>
        <v>12</v>
      </c>
      <c r="H1673" s="108" t="str">
        <f t="shared" si="460"/>
        <v>완료</v>
      </c>
      <c r="I1673" s="112" t="s">
        <v>514</v>
      </c>
      <c r="J1673" s="4" t="s">
        <v>5291</v>
      </c>
      <c r="K1673" s="5" t="s">
        <v>5292</v>
      </c>
      <c r="L1673" s="6" t="str">
        <f t="shared" ref="L1673" si="461">LEFT(K1673,3)</f>
        <v>EE1</v>
      </c>
      <c r="M1673" s="13" t="s">
        <v>216</v>
      </c>
      <c r="N1673" s="7" t="s">
        <v>571</v>
      </c>
      <c r="O1673" s="13" t="s">
        <v>5286</v>
      </c>
      <c r="P1673" s="115"/>
      <c r="Q1673" s="8"/>
      <c r="R1673" s="2">
        <v>2</v>
      </c>
      <c r="S1673" s="9">
        <v>500</v>
      </c>
      <c r="T1673" s="10">
        <f t="shared" ref="T1673" si="462">(S1673*50)/100*R1673</f>
        <v>500</v>
      </c>
      <c r="U1673" s="9">
        <v>0</v>
      </c>
      <c r="V1673" s="10">
        <f t="shared" ref="V1673" si="463">T1673-U1673</f>
        <v>500</v>
      </c>
      <c r="W1673" s="4" t="s">
        <v>5293</v>
      </c>
      <c r="X1673" s="2" t="s">
        <v>178</v>
      </c>
      <c r="Y1673" s="11">
        <v>3</v>
      </c>
      <c r="Z1673" s="12">
        <f t="shared" ref="Z1673" si="464">F1673-E1673</f>
        <v>16</v>
      </c>
      <c r="AA1673" s="4" t="s">
        <v>5294</v>
      </c>
      <c r="AB1673" s="201" t="s">
        <v>3434</v>
      </c>
      <c r="AC1673" s="176">
        <f t="shared" si="443"/>
        <v>0</v>
      </c>
    </row>
    <row r="1674" spans="2:29">
      <c r="B1674" s="183">
        <f t="shared" si="457"/>
        <v>50</v>
      </c>
      <c r="C1674" s="107" t="str">
        <f t="shared" si="458"/>
        <v>ATK</v>
      </c>
      <c r="D1674" s="2" t="s">
        <v>280</v>
      </c>
      <c r="E1674" s="3">
        <v>44160</v>
      </c>
      <c r="F1674" s="3">
        <v>44176</v>
      </c>
      <c r="G1674" s="108">
        <f t="shared" si="459"/>
        <v>12</v>
      </c>
      <c r="H1674" s="108" t="str">
        <f t="shared" si="460"/>
        <v>완료</v>
      </c>
      <c r="I1674" s="112" t="s">
        <v>514</v>
      </c>
      <c r="J1674" s="4" t="s">
        <v>5291</v>
      </c>
      <c r="K1674" s="5" t="s">
        <v>5292</v>
      </c>
      <c r="L1674" s="6" t="str">
        <f t="shared" ref="L1674:L1677" si="465">LEFT(K1674,3)</f>
        <v>EE1</v>
      </c>
      <c r="M1674" s="13" t="s">
        <v>216</v>
      </c>
      <c r="N1674" s="7" t="s">
        <v>571</v>
      </c>
      <c r="O1674" s="13" t="s">
        <v>5295</v>
      </c>
      <c r="P1674" s="115"/>
      <c r="Q1674" s="8"/>
      <c r="R1674" s="2">
        <v>6</v>
      </c>
      <c r="S1674" s="9">
        <v>500</v>
      </c>
      <c r="T1674" s="10">
        <f t="shared" ref="T1674:T1675" si="466">(S1674*50)/100*R1674</f>
        <v>1500</v>
      </c>
      <c r="U1674" s="9">
        <v>0</v>
      </c>
      <c r="V1674" s="10">
        <f t="shared" ref="V1674:V1675" si="467">T1674-U1674</f>
        <v>1500</v>
      </c>
      <c r="W1674" s="4" t="s">
        <v>5293</v>
      </c>
      <c r="X1674" s="2" t="s">
        <v>178</v>
      </c>
      <c r="Y1674" s="11">
        <v>3</v>
      </c>
      <c r="Z1674" s="12">
        <f t="shared" ref="Z1674:Z1675" si="468">F1674-E1674</f>
        <v>16</v>
      </c>
      <c r="AA1674" s="4" t="s">
        <v>174</v>
      </c>
      <c r="AB1674" s="201" t="s">
        <v>3434</v>
      </c>
      <c r="AC1674" s="176">
        <f t="shared" si="443"/>
        <v>0</v>
      </c>
    </row>
    <row r="1675" spans="2:29">
      <c r="B1675" s="183">
        <f t="shared" si="457"/>
        <v>50</v>
      </c>
      <c r="C1675" s="107" t="str">
        <f t="shared" si="458"/>
        <v>ATK</v>
      </c>
      <c r="D1675" s="2" t="s">
        <v>280</v>
      </c>
      <c r="E1675" s="3">
        <v>44160</v>
      </c>
      <c r="F1675" s="3">
        <v>44176</v>
      </c>
      <c r="G1675" s="108">
        <f t="shared" si="459"/>
        <v>12</v>
      </c>
      <c r="H1675" s="108" t="str">
        <f t="shared" si="460"/>
        <v>완료</v>
      </c>
      <c r="I1675" s="112" t="s">
        <v>514</v>
      </c>
      <c r="J1675" s="4" t="s">
        <v>5291</v>
      </c>
      <c r="K1675" s="5" t="s">
        <v>5292</v>
      </c>
      <c r="L1675" s="6" t="str">
        <f t="shared" si="465"/>
        <v>EE1</v>
      </c>
      <c r="M1675" s="13" t="s">
        <v>216</v>
      </c>
      <c r="N1675" s="7" t="s">
        <v>571</v>
      </c>
      <c r="O1675" s="13" t="s">
        <v>5296</v>
      </c>
      <c r="P1675" s="115"/>
      <c r="Q1675" s="8"/>
      <c r="R1675" s="2">
        <v>4</v>
      </c>
      <c r="S1675" s="9">
        <v>500</v>
      </c>
      <c r="T1675" s="10">
        <f t="shared" si="466"/>
        <v>1000</v>
      </c>
      <c r="U1675" s="9">
        <v>0</v>
      </c>
      <c r="V1675" s="10">
        <f t="shared" si="467"/>
        <v>1000</v>
      </c>
      <c r="W1675" s="4" t="s">
        <v>5293</v>
      </c>
      <c r="X1675" s="2" t="s">
        <v>178</v>
      </c>
      <c r="Y1675" s="11">
        <v>3</v>
      </c>
      <c r="Z1675" s="12">
        <f t="shared" si="468"/>
        <v>16</v>
      </c>
      <c r="AA1675" s="4" t="s">
        <v>27</v>
      </c>
      <c r="AB1675" s="201" t="s">
        <v>3434</v>
      </c>
      <c r="AC1675" s="176">
        <f t="shared" si="443"/>
        <v>0</v>
      </c>
    </row>
    <row r="1676" spans="2:29">
      <c r="B1676" s="183">
        <f t="shared" si="457"/>
        <v>48</v>
      </c>
      <c r="C1676" s="107" t="str">
        <f t="shared" si="458"/>
        <v>ATK</v>
      </c>
      <c r="D1676" s="2" t="s">
        <v>764</v>
      </c>
      <c r="E1676" s="3">
        <v>44161</v>
      </c>
      <c r="F1676" s="3">
        <v>44161</v>
      </c>
      <c r="G1676" s="108">
        <f t="shared" si="459"/>
        <v>11</v>
      </c>
      <c r="H1676" s="108" t="str">
        <f t="shared" si="460"/>
        <v>완료</v>
      </c>
      <c r="I1676" s="112" t="s">
        <v>218</v>
      </c>
      <c r="J1676" s="4" t="s">
        <v>118</v>
      </c>
      <c r="K1676" s="5" t="s">
        <v>119</v>
      </c>
      <c r="L1676" s="6" t="str">
        <f t="shared" si="465"/>
        <v>2T3</v>
      </c>
      <c r="M1676" s="13" t="s">
        <v>1773</v>
      </c>
      <c r="N1676" s="7" t="s">
        <v>4487</v>
      </c>
      <c r="O1676" s="13" t="s">
        <v>1330</v>
      </c>
      <c r="P1676" s="115" t="s">
        <v>5305</v>
      </c>
      <c r="Q1676" s="8"/>
      <c r="R1676" s="2">
        <v>4</v>
      </c>
      <c r="S1676" s="9">
        <v>1000</v>
      </c>
      <c r="T1676" s="10">
        <f t="shared" si="445"/>
        <v>2000</v>
      </c>
      <c r="U1676" s="9">
        <v>10</v>
      </c>
      <c r="V1676" s="10">
        <f t="shared" si="446"/>
        <v>1990</v>
      </c>
      <c r="W1676" s="4" t="s">
        <v>122</v>
      </c>
      <c r="X1676" s="2"/>
      <c r="Y1676" s="11">
        <v>4</v>
      </c>
      <c r="Z1676" s="12">
        <f t="shared" si="447"/>
        <v>0</v>
      </c>
      <c r="AA1676" s="4" t="s">
        <v>212</v>
      </c>
      <c r="AC1676" s="176">
        <f t="shared" si="443"/>
        <v>9.0909090909090905E-3</v>
      </c>
    </row>
    <row r="1677" spans="2:29">
      <c r="B1677" s="183">
        <f t="shared" si="457"/>
        <v>48</v>
      </c>
      <c r="C1677" s="107" t="str">
        <f t="shared" si="458"/>
        <v>ATK</v>
      </c>
      <c r="D1677" s="2" t="s">
        <v>379</v>
      </c>
      <c r="E1677" s="3">
        <v>44161</v>
      </c>
      <c r="F1677" s="3">
        <v>44162</v>
      </c>
      <c r="G1677" s="108">
        <f t="shared" si="459"/>
        <v>11</v>
      </c>
      <c r="H1677" s="108" t="str">
        <f t="shared" si="460"/>
        <v>완료</v>
      </c>
      <c r="I1677" s="112" t="s">
        <v>218</v>
      </c>
      <c r="J1677" s="4" t="s">
        <v>132</v>
      </c>
      <c r="K1677" s="5" t="s">
        <v>322</v>
      </c>
      <c r="L1677" s="6" t="str">
        <f t="shared" si="465"/>
        <v>3T1</v>
      </c>
      <c r="M1677" s="13" t="s">
        <v>216</v>
      </c>
      <c r="N1677" s="7" t="s">
        <v>5308</v>
      </c>
      <c r="O1677" s="7" t="s">
        <v>5309</v>
      </c>
      <c r="P1677" s="115" t="s">
        <v>5310</v>
      </c>
      <c r="Q1677" s="8"/>
      <c r="R1677" s="2">
        <v>1</v>
      </c>
      <c r="S1677" s="9">
        <v>500</v>
      </c>
      <c r="T1677" s="10">
        <f t="shared" si="445"/>
        <v>250</v>
      </c>
      <c r="U1677" s="9">
        <v>7</v>
      </c>
      <c r="V1677" s="10">
        <f t="shared" si="446"/>
        <v>243</v>
      </c>
      <c r="W1677" s="4" t="s">
        <v>122</v>
      </c>
      <c r="X1677" s="2"/>
      <c r="Y1677" s="11">
        <v>6</v>
      </c>
      <c r="Z1677" s="12">
        <f t="shared" si="447"/>
        <v>1</v>
      </c>
      <c r="AA1677" s="4" t="s">
        <v>212</v>
      </c>
      <c r="AC1677" s="176">
        <f t="shared" si="443"/>
        <v>6.3636363636363638E-3</v>
      </c>
    </row>
    <row r="1678" spans="2:29">
      <c r="B1678" s="183">
        <f t="shared" si="457"/>
        <v>48</v>
      </c>
      <c r="C1678" s="107" t="str">
        <f t="shared" si="458"/>
        <v>ATK</v>
      </c>
      <c r="D1678" s="2" t="s">
        <v>5311</v>
      </c>
      <c r="E1678" s="3">
        <v>44161</v>
      </c>
      <c r="F1678" s="3">
        <v>44161</v>
      </c>
      <c r="G1678" s="108">
        <f t="shared" si="459"/>
        <v>11</v>
      </c>
      <c r="H1678" s="108" t="str">
        <f t="shared" si="460"/>
        <v>완료</v>
      </c>
      <c r="I1678" s="112" t="s">
        <v>218</v>
      </c>
      <c r="J1678" s="4" t="s">
        <v>118</v>
      </c>
      <c r="K1678" s="5" t="s">
        <v>134</v>
      </c>
      <c r="L1678" s="6" t="str">
        <f t="shared" si="444"/>
        <v>2T1</v>
      </c>
      <c r="M1678" s="13"/>
      <c r="N1678" s="7" t="s">
        <v>5312</v>
      </c>
      <c r="O1678" s="13" t="s">
        <v>5313</v>
      </c>
      <c r="P1678" s="115" t="s">
        <v>5314</v>
      </c>
      <c r="Q1678" s="8"/>
      <c r="R1678" s="2">
        <v>1</v>
      </c>
      <c r="S1678" s="9">
        <v>1900</v>
      </c>
      <c r="T1678" s="10">
        <f t="shared" si="445"/>
        <v>950</v>
      </c>
      <c r="U1678" s="9">
        <v>5</v>
      </c>
      <c r="V1678" s="10">
        <f t="shared" si="446"/>
        <v>945</v>
      </c>
      <c r="W1678" s="4" t="s">
        <v>122</v>
      </c>
      <c r="X1678" s="2"/>
      <c r="Y1678" s="11">
        <v>2</v>
      </c>
      <c r="Z1678" s="12">
        <f t="shared" si="447"/>
        <v>0</v>
      </c>
      <c r="AA1678" s="4" t="s">
        <v>117</v>
      </c>
      <c r="AC1678" s="176">
        <f t="shared" si="443"/>
        <v>4.5454545454545452E-3</v>
      </c>
    </row>
    <row r="1679" spans="2:29">
      <c r="B1679" s="183">
        <f t="shared" si="457"/>
        <v>48</v>
      </c>
      <c r="C1679" s="107" t="str">
        <f t="shared" si="458"/>
        <v>ATK</v>
      </c>
      <c r="D1679" s="2" t="s">
        <v>5315</v>
      </c>
      <c r="E1679" s="3">
        <v>44161</v>
      </c>
      <c r="F1679" s="3">
        <v>44162</v>
      </c>
      <c r="G1679" s="108">
        <f t="shared" si="459"/>
        <v>11</v>
      </c>
      <c r="H1679" s="108" t="str">
        <f t="shared" si="460"/>
        <v>완료</v>
      </c>
      <c r="I1679" s="112" t="s">
        <v>218</v>
      </c>
      <c r="J1679" s="4" t="s">
        <v>121</v>
      </c>
      <c r="K1679" s="5" t="s">
        <v>136</v>
      </c>
      <c r="L1679" s="6" t="str">
        <f t="shared" si="444"/>
        <v>5T1</v>
      </c>
      <c r="M1679" s="13" t="s">
        <v>4065</v>
      </c>
      <c r="N1679" s="7" t="s">
        <v>3511</v>
      </c>
      <c r="O1679" s="13" t="s">
        <v>287</v>
      </c>
      <c r="P1679" s="115"/>
      <c r="Q1679" s="8"/>
      <c r="R1679" s="2">
        <v>2</v>
      </c>
      <c r="S1679" s="9">
        <v>1200</v>
      </c>
      <c r="T1679" s="10">
        <f t="shared" si="445"/>
        <v>1200</v>
      </c>
      <c r="U1679" s="9">
        <v>6</v>
      </c>
      <c r="V1679" s="10">
        <f t="shared" si="446"/>
        <v>1194</v>
      </c>
      <c r="W1679" s="4" t="s">
        <v>122</v>
      </c>
      <c r="X1679" s="2"/>
      <c r="Y1679" s="11">
        <v>1</v>
      </c>
      <c r="Z1679" s="12">
        <f t="shared" si="447"/>
        <v>1</v>
      </c>
      <c r="AA1679" s="4" t="s">
        <v>117</v>
      </c>
      <c r="AC1679" s="176">
        <f t="shared" si="443"/>
        <v>5.454545454545455E-3</v>
      </c>
    </row>
    <row r="1680" spans="2:29">
      <c r="B1680" s="183">
        <f t="shared" si="457"/>
        <v>48</v>
      </c>
      <c r="C1680" s="107" t="str">
        <f t="shared" si="458"/>
        <v>ATK</v>
      </c>
      <c r="D1680" s="2" t="s">
        <v>3293</v>
      </c>
      <c r="E1680" s="3">
        <v>44162</v>
      </c>
      <c r="F1680" s="3">
        <v>44162</v>
      </c>
      <c r="G1680" s="108">
        <f t="shared" si="459"/>
        <v>11</v>
      </c>
      <c r="H1680" s="108" t="str">
        <f t="shared" si="460"/>
        <v>Other</v>
      </c>
      <c r="I1680" s="112" t="s">
        <v>31</v>
      </c>
      <c r="J1680" s="4" t="s">
        <v>31</v>
      </c>
      <c r="K1680" s="5" t="s">
        <v>31</v>
      </c>
      <c r="L1680" s="6" t="str">
        <f t="shared" si="444"/>
        <v>Oth</v>
      </c>
      <c r="M1680" s="13" t="s">
        <v>3293</v>
      </c>
      <c r="N1680" s="7" t="s">
        <v>5191</v>
      </c>
      <c r="O1680" s="13" t="s">
        <v>226</v>
      </c>
      <c r="P1680" s="115" t="s">
        <v>5319</v>
      </c>
      <c r="Q1680" s="8"/>
      <c r="R1680" s="2">
        <v>1</v>
      </c>
      <c r="S1680" s="9">
        <v>0</v>
      </c>
      <c r="T1680" s="10">
        <f t="shared" si="445"/>
        <v>0</v>
      </c>
      <c r="U1680" s="9">
        <v>0</v>
      </c>
      <c r="V1680" s="10">
        <f t="shared" si="446"/>
        <v>0</v>
      </c>
      <c r="W1680" s="4" t="s">
        <v>249</v>
      </c>
      <c r="X1680" s="2"/>
      <c r="Y1680" s="11">
        <v>1</v>
      </c>
      <c r="Z1680" s="12">
        <f t="shared" si="447"/>
        <v>0</v>
      </c>
      <c r="AA1680" s="4" t="s">
        <v>174</v>
      </c>
      <c r="AC1680" s="176">
        <f t="shared" si="443"/>
        <v>0</v>
      </c>
    </row>
    <row r="1681" spans="2:29">
      <c r="B1681" s="183">
        <f t="shared" si="457"/>
        <v>48</v>
      </c>
      <c r="C1681" s="107" t="str">
        <f t="shared" si="458"/>
        <v>ATK</v>
      </c>
      <c r="D1681" s="2" t="s">
        <v>3293</v>
      </c>
      <c r="E1681" s="3">
        <v>44162</v>
      </c>
      <c r="F1681" s="3">
        <v>44162</v>
      </c>
      <c r="G1681" s="108">
        <f t="shared" si="459"/>
        <v>11</v>
      </c>
      <c r="H1681" s="108" t="str">
        <f t="shared" si="460"/>
        <v>Other</v>
      </c>
      <c r="I1681" s="112" t="s">
        <v>251</v>
      </c>
      <c r="J1681" s="4" t="s">
        <v>31</v>
      </c>
      <c r="K1681" s="5" t="s">
        <v>31</v>
      </c>
      <c r="L1681" s="6" t="str">
        <f t="shared" si="444"/>
        <v>Oth</v>
      </c>
      <c r="M1681" s="13" t="s">
        <v>3293</v>
      </c>
      <c r="N1681" s="7" t="s">
        <v>5191</v>
      </c>
      <c r="O1681" s="13" t="s">
        <v>226</v>
      </c>
      <c r="P1681" s="115" t="s">
        <v>5320</v>
      </c>
      <c r="Q1681" s="8"/>
      <c r="R1681" s="2">
        <v>1</v>
      </c>
      <c r="S1681" s="9">
        <v>0</v>
      </c>
      <c r="T1681" s="10">
        <f t="shared" si="445"/>
        <v>0</v>
      </c>
      <c r="U1681" s="9">
        <v>0</v>
      </c>
      <c r="V1681" s="10">
        <f t="shared" si="446"/>
        <v>0</v>
      </c>
      <c r="W1681" s="4" t="s">
        <v>249</v>
      </c>
      <c r="X1681" s="2"/>
      <c r="Y1681" s="11">
        <v>1</v>
      </c>
      <c r="Z1681" s="12">
        <f t="shared" si="447"/>
        <v>0</v>
      </c>
      <c r="AA1681" s="4" t="s">
        <v>30</v>
      </c>
      <c r="AC1681" s="176">
        <f t="shared" si="443"/>
        <v>0</v>
      </c>
    </row>
    <row r="1682" spans="2:29">
      <c r="B1682" s="183">
        <f t="shared" si="457"/>
        <v>50</v>
      </c>
      <c r="C1682" s="107" t="str">
        <f t="shared" si="458"/>
        <v>ATK</v>
      </c>
      <c r="D1682" s="2" t="s">
        <v>2008</v>
      </c>
      <c r="E1682" s="3">
        <v>44162</v>
      </c>
      <c r="F1682" s="3">
        <v>44176</v>
      </c>
      <c r="G1682" s="108">
        <f t="shared" si="459"/>
        <v>12</v>
      </c>
      <c r="H1682" s="108" t="str">
        <f t="shared" si="460"/>
        <v>완료</v>
      </c>
      <c r="I1682" s="112" t="s">
        <v>218</v>
      </c>
      <c r="J1682" s="4" t="s">
        <v>118</v>
      </c>
      <c r="K1682" s="5" t="s">
        <v>134</v>
      </c>
      <c r="L1682" s="6" t="str">
        <f t="shared" si="444"/>
        <v>2T1</v>
      </c>
      <c r="M1682" s="13" t="s">
        <v>5330</v>
      </c>
      <c r="N1682" s="7" t="s">
        <v>5331</v>
      </c>
      <c r="O1682" s="13" t="s">
        <v>3983</v>
      </c>
      <c r="P1682" s="115" t="s">
        <v>5332</v>
      </c>
      <c r="Q1682" s="8"/>
      <c r="R1682" s="2">
        <v>1</v>
      </c>
      <c r="S1682" s="9">
        <v>1500</v>
      </c>
      <c r="T1682" s="10">
        <f t="shared" si="445"/>
        <v>750</v>
      </c>
      <c r="U1682" s="9">
        <v>20</v>
      </c>
      <c r="V1682" s="10">
        <f t="shared" si="446"/>
        <v>730</v>
      </c>
      <c r="W1682" s="4" t="s">
        <v>5333</v>
      </c>
      <c r="X1682" s="2"/>
      <c r="Y1682" s="11">
        <v>4</v>
      </c>
      <c r="Z1682" s="12">
        <f t="shared" si="447"/>
        <v>14</v>
      </c>
      <c r="AA1682" s="4" t="s">
        <v>5334</v>
      </c>
      <c r="AC1682" s="176">
        <f t="shared" si="443"/>
        <v>1.8181818181818181E-2</v>
      </c>
    </row>
    <row r="1683" spans="2:29">
      <c r="B1683" s="183">
        <f t="shared" si="457"/>
        <v>48</v>
      </c>
      <c r="C1683" s="107" t="str">
        <f t="shared" si="458"/>
        <v>ATK</v>
      </c>
      <c r="D1683" s="2" t="s">
        <v>5321</v>
      </c>
      <c r="E1683" s="3">
        <v>44158</v>
      </c>
      <c r="F1683" s="3">
        <v>44162</v>
      </c>
      <c r="G1683" s="108">
        <f t="shared" si="459"/>
        <v>11</v>
      </c>
      <c r="H1683" s="108" t="str">
        <f t="shared" si="460"/>
        <v>완료</v>
      </c>
      <c r="I1683" s="112" t="s">
        <v>218</v>
      </c>
      <c r="J1683" s="4" t="s">
        <v>118</v>
      </c>
      <c r="K1683" s="5" t="s">
        <v>137</v>
      </c>
      <c r="L1683" s="6" t="str">
        <f t="shared" si="444"/>
        <v>2T2</v>
      </c>
      <c r="M1683" s="13" t="s">
        <v>4536</v>
      </c>
      <c r="N1683" s="7" t="s">
        <v>5322</v>
      </c>
      <c r="O1683" s="13" t="s">
        <v>5323</v>
      </c>
      <c r="P1683" s="115"/>
      <c r="Q1683" s="8"/>
      <c r="R1683" s="2">
        <v>1</v>
      </c>
      <c r="S1683" s="9">
        <v>2500</v>
      </c>
      <c r="T1683" s="10">
        <f t="shared" si="445"/>
        <v>1250</v>
      </c>
      <c r="U1683" s="9">
        <v>10</v>
      </c>
      <c r="V1683" s="10">
        <f t="shared" si="446"/>
        <v>1240</v>
      </c>
      <c r="W1683" s="4" t="s">
        <v>122</v>
      </c>
      <c r="X1683" s="2"/>
      <c r="Y1683" s="11">
        <v>5</v>
      </c>
      <c r="Z1683" s="12">
        <f t="shared" si="447"/>
        <v>4</v>
      </c>
      <c r="AA1683" s="4" t="s">
        <v>117</v>
      </c>
      <c r="AC1683" s="176">
        <f t="shared" si="443"/>
        <v>9.0909090909090905E-3</v>
      </c>
    </row>
    <row r="1684" spans="2:29">
      <c r="B1684" s="183">
        <f t="shared" si="457"/>
        <v>48</v>
      </c>
      <c r="C1684" s="107" t="str">
        <f t="shared" si="458"/>
        <v>ATK</v>
      </c>
      <c r="D1684" s="2" t="s">
        <v>5324</v>
      </c>
      <c r="E1684" s="3">
        <v>44162</v>
      </c>
      <c r="F1684" s="3">
        <v>44162</v>
      </c>
      <c r="G1684" s="108">
        <f t="shared" si="459"/>
        <v>11</v>
      </c>
      <c r="H1684" s="108" t="str">
        <f t="shared" si="460"/>
        <v>Other</v>
      </c>
      <c r="I1684" s="112" t="s">
        <v>660</v>
      </c>
      <c r="J1684" s="4" t="s">
        <v>118</v>
      </c>
      <c r="K1684" s="5" t="s">
        <v>137</v>
      </c>
      <c r="L1684" s="6" t="str">
        <f t="shared" si="444"/>
        <v>2T2</v>
      </c>
      <c r="M1684" s="13" t="s">
        <v>147</v>
      </c>
      <c r="N1684" s="7" t="s">
        <v>3490</v>
      </c>
      <c r="O1684" s="13" t="s">
        <v>147</v>
      </c>
      <c r="P1684" s="115" t="s">
        <v>198</v>
      </c>
      <c r="Q1684" s="8" t="s">
        <v>5325</v>
      </c>
      <c r="R1684" s="2">
        <v>1</v>
      </c>
      <c r="S1684" s="9">
        <v>1900</v>
      </c>
      <c r="T1684" s="10">
        <f t="shared" si="445"/>
        <v>950</v>
      </c>
      <c r="U1684" s="9">
        <v>0</v>
      </c>
      <c r="V1684" s="10">
        <f t="shared" si="446"/>
        <v>950</v>
      </c>
      <c r="W1684" s="4" t="s">
        <v>122</v>
      </c>
      <c r="X1684" s="2"/>
      <c r="Y1684" s="11">
        <v>1</v>
      </c>
      <c r="Z1684" s="12">
        <f t="shared" si="447"/>
        <v>0</v>
      </c>
      <c r="AA1684" s="4" t="s">
        <v>174</v>
      </c>
      <c r="AC1684" s="176">
        <f t="shared" si="443"/>
        <v>0</v>
      </c>
    </row>
    <row r="1685" spans="2:29">
      <c r="B1685" s="183">
        <f t="shared" si="457"/>
        <v>49</v>
      </c>
      <c r="C1685" s="107" t="str">
        <f t="shared" si="458"/>
        <v>ATK</v>
      </c>
      <c r="D1685" s="2" t="s">
        <v>3197</v>
      </c>
      <c r="E1685" s="3">
        <v>44162</v>
      </c>
      <c r="F1685" s="3">
        <v>44165</v>
      </c>
      <c r="G1685" s="108">
        <f t="shared" si="459"/>
        <v>11</v>
      </c>
      <c r="H1685" s="108" t="str">
        <f t="shared" si="460"/>
        <v>완료</v>
      </c>
      <c r="I1685" s="112" t="s">
        <v>218</v>
      </c>
      <c r="J1685" s="4" t="s">
        <v>118</v>
      </c>
      <c r="K1685" s="5" t="s">
        <v>137</v>
      </c>
      <c r="L1685" s="6" t="str">
        <f t="shared" ref="L1685" si="469">LEFT(K1685,3)</f>
        <v>2T2</v>
      </c>
      <c r="M1685" s="13" t="s">
        <v>4536</v>
      </c>
      <c r="N1685" s="7" t="s">
        <v>4038</v>
      </c>
      <c r="O1685" s="13" t="s">
        <v>1782</v>
      </c>
      <c r="P1685" s="115" t="s">
        <v>5326</v>
      </c>
      <c r="Q1685" s="8"/>
      <c r="R1685" s="2">
        <v>1</v>
      </c>
      <c r="S1685" s="9">
        <v>4500</v>
      </c>
      <c r="T1685" s="10">
        <f t="shared" si="445"/>
        <v>2250</v>
      </c>
      <c r="U1685" s="9">
        <v>30</v>
      </c>
      <c r="V1685" s="10">
        <f t="shared" si="446"/>
        <v>2220</v>
      </c>
      <c r="W1685" s="4" t="s">
        <v>122</v>
      </c>
      <c r="X1685" s="2"/>
      <c r="Y1685" s="11">
        <v>6</v>
      </c>
      <c r="Z1685" s="12">
        <f t="shared" si="447"/>
        <v>3</v>
      </c>
      <c r="AA1685" s="4" t="s">
        <v>27</v>
      </c>
      <c r="AC1685" s="176">
        <f t="shared" si="443"/>
        <v>2.7272727272727271E-2</v>
      </c>
    </row>
    <row r="1686" spans="2:29">
      <c r="B1686" s="183">
        <f t="shared" si="457"/>
        <v>49</v>
      </c>
      <c r="C1686" s="107" t="str">
        <f t="shared" si="458"/>
        <v>ATK</v>
      </c>
      <c r="D1686" s="2" t="s">
        <v>455</v>
      </c>
      <c r="E1686" s="3">
        <v>44162</v>
      </c>
      <c r="F1686" s="3">
        <v>44168</v>
      </c>
      <c r="G1686" s="108">
        <f t="shared" si="459"/>
        <v>12</v>
      </c>
      <c r="H1686" s="108" t="str">
        <f t="shared" si="460"/>
        <v>완료</v>
      </c>
      <c r="I1686" s="112" t="s">
        <v>218</v>
      </c>
      <c r="J1686" s="4" t="s">
        <v>118</v>
      </c>
      <c r="K1686" s="5" t="s">
        <v>119</v>
      </c>
      <c r="L1686" s="6" t="str">
        <f t="shared" si="444"/>
        <v>2T3</v>
      </c>
      <c r="M1686" s="13" t="s">
        <v>4844</v>
      </c>
      <c r="N1686" s="7" t="s">
        <v>5327</v>
      </c>
      <c r="O1686" s="13" t="s">
        <v>284</v>
      </c>
      <c r="P1686" s="115" t="s">
        <v>5328</v>
      </c>
      <c r="Q1686" s="8"/>
      <c r="R1686" s="2">
        <v>1</v>
      </c>
      <c r="S1686" s="9">
        <v>1200</v>
      </c>
      <c r="T1686" s="10">
        <f t="shared" si="445"/>
        <v>600</v>
      </c>
      <c r="U1686" s="9">
        <v>0</v>
      </c>
      <c r="V1686" s="10">
        <f t="shared" si="446"/>
        <v>600</v>
      </c>
      <c r="W1686" s="4" t="s">
        <v>122</v>
      </c>
      <c r="X1686" s="2"/>
      <c r="Y1686" s="11">
        <v>4</v>
      </c>
      <c r="Z1686" s="12">
        <f t="shared" si="447"/>
        <v>6</v>
      </c>
      <c r="AA1686" s="4" t="s">
        <v>212</v>
      </c>
      <c r="AC1686" s="176">
        <f t="shared" si="443"/>
        <v>0</v>
      </c>
    </row>
    <row r="1687" spans="2:29">
      <c r="B1687" s="183">
        <f t="shared" si="457"/>
        <v>49</v>
      </c>
      <c r="C1687" s="107" t="str">
        <f t="shared" si="458"/>
        <v>ATK</v>
      </c>
      <c r="D1687" s="2" t="s">
        <v>3293</v>
      </c>
      <c r="E1687" s="3">
        <v>44165</v>
      </c>
      <c r="F1687" s="3">
        <v>44165</v>
      </c>
      <c r="G1687" s="108">
        <f t="shared" si="459"/>
        <v>11</v>
      </c>
      <c r="H1687" s="108" t="str">
        <f t="shared" si="460"/>
        <v>Other</v>
      </c>
      <c r="I1687" s="112" t="s">
        <v>31</v>
      </c>
      <c r="J1687" s="4" t="s">
        <v>31</v>
      </c>
      <c r="K1687" s="5" t="s">
        <v>31</v>
      </c>
      <c r="L1687" s="6" t="str">
        <f t="shared" ref="L1687:L1688" si="470">LEFT(K1687,3)</f>
        <v>Oth</v>
      </c>
      <c r="M1687" s="13" t="s">
        <v>3293</v>
      </c>
      <c r="N1687" s="7" t="s">
        <v>5191</v>
      </c>
      <c r="O1687" s="13" t="s">
        <v>226</v>
      </c>
      <c r="P1687" s="115" t="s">
        <v>5329</v>
      </c>
      <c r="Q1687" s="8"/>
      <c r="R1687" s="2">
        <v>1</v>
      </c>
      <c r="S1687" s="9">
        <v>0</v>
      </c>
      <c r="T1687" s="10">
        <f t="shared" ref="T1687:T1688" si="471">(S1687*50)/100*R1687</f>
        <v>0</v>
      </c>
      <c r="U1687" s="9">
        <v>0</v>
      </c>
      <c r="V1687" s="10">
        <f t="shared" ref="V1687:V1688" si="472">T1687-U1687</f>
        <v>0</v>
      </c>
      <c r="W1687" s="4" t="s">
        <v>249</v>
      </c>
      <c r="X1687" s="2"/>
      <c r="Y1687" s="11">
        <v>1</v>
      </c>
      <c r="Z1687" s="12">
        <f t="shared" ref="Z1687:Z1688" si="473">F1687-E1687</f>
        <v>0</v>
      </c>
      <c r="AA1687" s="4" t="s">
        <v>174</v>
      </c>
      <c r="AC1687" s="176">
        <f t="shared" si="443"/>
        <v>0</v>
      </c>
    </row>
    <row r="1688" spans="2:29">
      <c r="B1688" s="183">
        <f t="shared" si="457"/>
        <v>49</v>
      </c>
      <c r="C1688" s="107" t="str">
        <f t="shared" si="458"/>
        <v>ATK</v>
      </c>
      <c r="D1688" s="2" t="s">
        <v>3293</v>
      </c>
      <c r="E1688" s="3">
        <v>44165</v>
      </c>
      <c r="F1688" s="3">
        <v>44165</v>
      </c>
      <c r="G1688" s="108">
        <f t="shared" si="459"/>
        <v>11</v>
      </c>
      <c r="H1688" s="108" t="str">
        <f t="shared" si="460"/>
        <v>Other</v>
      </c>
      <c r="I1688" s="112" t="s">
        <v>251</v>
      </c>
      <c r="J1688" s="4" t="s">
        <v>31</v>
      </c>
      <c r="K1688" s="5" t="s">
        <v>31</v>
      </c>
      <c r="L1688" s="6" t="str">
        <f t="shared" si="470"/>
        <v>Oth</v>
      </c>
      <c r="M1688" s="13" t="s">
        <v>3293</v>
      </c>
      <c r="N1688" s="7" t="s">
        <v>5191</v>
      </c>
      <c r="O1688" s="13" t="s">
        <v>226</v>
      </c>
      <c r="P1688" s="115" t="s">
        <v>5329</v>
      </c>
      <c r="Q1688" s="8"/>
      <c r="R1688" s="2">
        <v>1</v>
      </c>
      <c r="S1688" s="9">
        <v>0</v>
      </c>
      <c r="T1688" s="10">
        <f t="shared" si="471"/>
        <v>0</v>
      </c>
      <c r="U1688" s="9">
        <v>0</v>
      </c>
      <c r="V1688" s="10">
        <f t="shared" si="472"/>
        <v>0</v>
      </c>
      <c r="W1688" s="4" t="s">
        <v>249</v>
      </c>
      <c r="X1688" s="2"/>
      <c r="Y1688" s="11">
        <v>1</v>
      </c>
      <c r="Z1688" s="12">
        <f t="shared" si="473"/>
        <v>0</v>
      </c>
      <c r="AA1688" s="4" t="s">
        <v>30</v>
      </c>
      <c r="AC1688" s="176">
        <f t="shared" si="443"/>
        <v>0</v>
      </c>
    </row>
    <row r="1689" spans="2:29">
      <c r="B1689" s="183">
        <f t="shared" si="457"/>
        <v>50</v>
      </c>
      <c r="C1689" s="107" t="str">
        <f t="shared" si="458"/>
        <v>ATK</v>
      </c>
      <c r="D1689" s="2" t="s">
        <v>5335</v>
      </c>
      <c r="E1689" s="3">
        <v>44165</v>
      </c>
      <c r="F1689" s="3">
        <v>44173</v>
      </c>
      <c r="G1689" s="108">
        <f t="shared" si="459"/>
        <v>12</v>
      </c>
      <c r="H1689" s="108" t="str">
        <f t="shared" si="460"/>
        <v>완료</v>
      </c>
      <c r="I1689" s="112" t="s">
        <v>264</v>
      </c>
      <c r="J1689" s="4" t="s">
        <v>5336</v>
      </c>
      <c r="K1689" s="5" t="s">
        <v>5337</v>
      </c>
      <c r="L1689" s="6" t="str">
        <f t="shared" si="444"/>
        <v>5T2</v>
      </c>
      <c r="M1689" s="13" t="s">
        <v>2629</v>
      </c>
      <c r="N1689" s="7" t="s">
        <v>5338</v>
      </c>
      <c r="O1689" s="13" t="s">
        <v>2629</v>
      </c>
      <c r="P1689" s="115" t="s">
        <v>4653</v>
      </c>
      <c r="Q1689" s="8"/>
      <c r="R1689" s="2">
        <v>1</v>
      </c>
      <c r="S1689" s="9">
        <v>351</v>
      </c>
      <c r="T1689" s="10">
        <f t="shared" si="445"/>
        <v>175.5</v>
      </c>
      <c r="U1689" s="9">
        <v>5</v>
      </c>
      <c r="V1689" s="10">
        <f t="shared" si="446"/>
        <v>170.5</v>
      </c>
      <c r="W1689" s="4" t="s">
        <v>5333</v>
      </c>
      <c r="X1689" s="2"/>
      <c r="Y1689" s="11">
        <v>3</v>
      </c>
      <c r="Z1689" s="12">
        <f t="shared" si="447"/>
        <v>8</v>
      </c>
      <c r="AA1689" s="4" t="s">
        <v>5334</v>
      </c>
      <c r="AC1689" s="176">
        <f t="shared" si="443"/>
        <v>4.5454545454545452E-3</v>
      </c>
    </row>
    <row r="1690" spans="2:29">
      <c r="B1690" s="183">
        <f t="shared" si="457"/>
        <v>49</v>
      </c>
      <c r="C1690" s="107" t="str">
        <f t="shared" si="458"/>
        <v>ATK</v>
      </c>
      <c r="D1690" s="2" t="s">
        <v>5339</v>
      </c>
      <c r="E1690" s="3">
        <v>44165</v>
      </c>
      <c r="F1690" s="3">
        <v>44165</v>
      </c>
      <c r="G1690" s="108">
        <f t="shared" si="459"/>
        <v>11</v>
      </c>
      <c r="H1690" s="108" t="str">
        <f t="shared" si="460"/>
        <v>완료</v>
      </c>
      <c r="I1690" s="112" t="s">
        <v>218</v>
      </c>
      <c r="J1690" s="4" t="s">
        <v>5340</v>
      </c>
      <c r="K1690" s="5" t="s">
        <v>5341</v>
      </c>
      <c r="L1690" s="6" t="str">
        <f t="shared" si="444"/>
        <v>1T4</v>
      </c>
      <c r="M1690" s="13" t="s">
        <v>5342</v>
      </c>
      <c r="N1690" s="7" t="s">
        <v>5343</v>
      </c>
      <c r="O1690" s="13" t="s">
        <v>1021</v>
      </c>
      <c r="P1690" s="115" t="s">
        <v>5344</v>
      </c>
      <c r="Q1690" s="8"/>
      <c r="R1690" s="2">
        <v>1</v>
      </c>
      <c r="S1690" s="9">
        <v>5000</v>
      </c>
      <c r="T1690" s="10">
        <f t="shared" ref="T1690:T1698" si="474">(S1690*50)/100*R1690</f>
        <v>2500</v>
      </c>
      <c r="U1690" s="9">
        <v>20</v>
      </c>
      <c r="V1690" s="10">
        <f t="shared" si="446"/>
        <v>2480</v>
      </c>
      <c r="W1690" s="4" t="s">
        <v>5333</v>
      </c>
      <c r="X1690" s="2"/>
      <c r="Y1690" s="11">
        <v>2</v>
      </c>
      <c r="Z1690" s="12">
        <f t="shared" si="447"/>
        <v>0</v>
      </c>
      <c r="AA1690" s="4" t="s">
        <v>117</v>
      </c>
      <c r="AC1690" s="176">
        <f t="shared" si="443"/>
        <v>1.8181818181818181E-2</v>
      </c>
    </row>
    <row r="1691" spans="2:29">
      <c r="B1691" s="183">
        <f t="shared" si="457"/>
        <v>49</v>
      </c>
      <c r="C1691" s="107" t="str">
        <f t="shared" si="458"/>
        <v>ATK</v>
      </c>
      <c r="D1691" s="2" t="s">
        <v>5339</v>
      </c>
      <c r="E1691" s="3">
        <v>44165</v>
      </c>
      <c r="F1691" s="3">
        <v>44166</v>
      </c>
      <c r="G1691" s="108">
        <f t="shared" si="459"/>
        <v>12</v>
      </c>
      <c r="H1691" s="108" t="str">
        <f t="shared" si="460"/>
        <v>완료</v>
      </c>
      <c r="I1691" s="112" t="s">
        <v>218</v>
      </c>
      <c r="J1691" s="4" t="s">
        <v>5340</v>
      </c>
      <c r="K1691" s="5" t="s">
        <v>5341</v>
      </c>
      <c r="L1691" s="6" t="str">
        <f t="shared" ref="L1691" si="475">LEFT(K1691,3)</f>
        <v>1T4</v>
      </c>
      <c r="M1691" s="13" t="s">
        <v>5342</v>
      </c>
      <c r="N1691" s="7" t="s">
        <v>3491</v>
      </c>
      <c r="O1691" s="13" t="s">
        <v>731</v>
      </c>
      <c r="P1691" s="115" t="s">
        <v>5345</v>
      </c>
      <c r="Q1691" s="8"/>
      <c r="R1691" s="2">
        <v>1</v>
      </c>
      <c r="S1691" s="9">
        <v>5000</v>
      </c>
      <c r="T1691" s="10">
        <f t="shared" si="474"/>
        <v>2500</v>
      </c>
      <c r="U1691" s="9">
        <v>30</v>
      </c>
      <c r="V1691" s="10">
        <f t="shared" si="446"/>
        <v>2470</v>
      </c>
      <c r="W1691" s="4" t="s">
        <v>122</v>
      </c>
      <c r="X1691" s="2"/>
      <c r="Y1691" s="11">
        <v>3</v>
      </c>
      <c r="Z1691" s="12">
        <f t="shared" si="447"/>
        <v>1</v>
      </c>
      <c r="AA1691" s="4" t="s">
        <v>117</v>
      </c>
      <c r="AC1691" s="176">
        <f t="shared" si="443"/>
        <v>2.7272727272727271E-2</v>
      </c>
    </row>
    <row r="1692" spans="2:29">
      <c r="B1692" s="183">
        <f t="shared" si="457"/>
        <v>49</v>
      </c>
      <c r="C1692" s="107" t="str">
        <f t="shared" si="458"/>
        <v>ATK</v>
      </c>
      <c r="D1692" s="2" t="s">
        <v>5346</v>
      </c>
      <c r="E1692" s="3">
        <v>44165</v>
      </c>
      <c r="F1692" s="3">
        <v>44165</v>
      </c>
      <c r="G1692" s="108">
        <f t="shared" si="459"/>
        <v>11</v>
      </c>
      <c r="H1692" s="108" t="str">
        <f t="shared" si="460"/>
        <v>완료</v>
      </c>
      <c r="I1692" s="112" t="s">
        <v>218</v>
      </c>
      <c r="J1692" s="4" t="s">
        <v>2714</v>
      </c>
      <c r="K1692" s="5" t="s">
        <v>2697</v>
      </c>
      <c r="L1692" s="6" t="str">
        <f t="shared" si="444"/>
        <v>EE2</v>
      </c>
      <c r="M1692" s="13" t="s">
        <v>3970</v>
      </c>
      <c r="N1692" s="7" t="s">
        <v>5347</v>
      </c>
      <c r="O1692" s="13" t="s">
        <v>5348</v>
      </c>
      <c r="P1692" s="115"/>
      <c r="Q1692" s="8"/>
      <c r="R1692" s="2">
        <v>1</v>
      </c>
      <c r="S1692" s="9">
        <v>27000</v>
      </c>
      <c r="T1692" s="10">
        <f t="shared" si="474"/>
        <v>13500</v>
      </c>
      <c r="U1692" s="9">
        <v>2</v>
      </c>
      <c r="V1692" s="10">
        <f t="shared" si="446"/>
        <v>13498</v>
      </c>
      <c r="W1692" s="4" t="s">
        <v>5333</v>
      </c>
      <c r="X1692" s="2"/>
      <c r="Y1692" s="11">
        <v>2</v>
      </c>
      <c r="Z1692" s="12">
        <f t="shared" si="447"/>
        <v>0</v>
      </c>
      <c r="AA1692" s="4" t="s">
        <v>117</v>
      </c>
      <c r="AC1692" s="176">
        <f t="shared" si="443"/>
        <v>1.8181818181818182E-3</v>
      </c>
    </row>
    <row r="1693" spans="2:29">
      <c r="B1693" s="183">
        <f t="shared" si="457"/>
        <v>49</v>
      </c>
      <c r="C1693" s="107" t="str">
        <f t="shared" si="458"/>
        <v>ATK</v>
      </c>
      <c r="D1693" s="2" t="s">
        <v>4820</v>
      </c>
      <c r="E1693" s="3">
        <v>44165</v>
      </c>
      <c r="F1693" s="3">
        <v>44165</v>
      </c>
      <c r="G1693" s="108">
        <f t="shared" si="459"/>
        <v>11</v>
      </c>
      <c r="H1693" s="108" t="str">
        <f t="shared" si="460"/>
        <v>완료</v>
      </c>
      <c r="I1693" s="112" t="s">
        <v>218</v>
      </c>
      <c r="J1693" s="4" t="s">
        <v>132</v>
      </c>
      <c r="K1693" s="5" t="s">
        <v>336</v>
      </c>
      <c r="L1693" s="6" t="str">
        <f t="shared" si="444"/>
        <v>PM</v>
      </c>
      <c r="M1693" s="13" t="s">
        <v>5349</v>
      </c>
      <c r="N1693" s="7" t="s">
        <v>2075</v>
      </c>
      <c r="O1693" s="13" t="s">
        <v>5351</v>
      </c>
      <c r="P1693" s="115" t="s">
        <v>5350</v>
      </c>
      <c r="Q1693" s="8"/>
      <c r="R1693" s="2">
        <v>1</v>
      </c>
      <c r="S1693" s="9">
        <v>1000</v>
      </c>
      <c r="T1693" s="10">
        <f t="shared" si="474"/>
        <v>500</v>
      </c>
      <c r="U1693" s="9">
        <v>1</v>
      </c>
      <c r="V1693" s="10">
        <f t="shared" si="446"/>
        <v>499</v>
      </c>
      <c r="W1693" s="4" t="s">
        <v>122</v>
      </c>
      <c r="X1693" s="2"/>
      <c r="Y1693" s="11">
        <v>2</v>
      </c>
      <c r="Z1693" s="12">
        <f t="shared" si="447"/>
        <v>0</v>
      </c>
      <c r="AA1693" s="4" t="s">
        <v>212</v>
      </c>
      <c r="AC1693" s="176">
        <f t="shared" si="443"/>
        <v>9.0909090909090909E-4</v>
      </c>
    </row>
    <row r="1694" spans="2:29">
      <c r="B1694" s="183">
        <f t="shared" si="457"/>
        <v>49</v>
      </c>
      <c r="C1694" s="107" t="str">
        <f t="shared" si="458"/>
        <v>ATK</v>
      </c>
      <c r="D1694" s="2" t="s">
        <v>5352</v>
      </c>
      <c r="E1694" s="3">
        <v>44165</v>
      </c>
      <c r="F1694" s="3">
        <v>44166</v>
      </c>
      <c r="G1694" s="108">
        <f t="shared" si="459"/>
        <v>12</v>
      </c>
      <c r="H1694" s="108" t="str">
        <f t="shared" si="460"/>
        <v>완료</v>
      </c>
      <c r="I1694" s="112" t="s">
        <v>218</v>
      </c>
      <c r="J1694" s="4" t="s">
        <v>748</v>
      </c>
      <c r="K1694" s="5" t="s">
        <v>177</v>
      </c>
      <c r="L1694" s="6" t="str">
        <f t="shared" si="444"/>
        <v>Bum</v>
      </c>
      <c r="M1694" s="13" t="s">
        <v>3970</v>
      </c>
      <c r="N1694" s="7" t="s">
        <v>5353</v>
      </c>
      <c r="O1694" s="13" t="s">
        <v>5354</v>
      </c>
      <c r="P1694" s="115"/>
      <c r="Q1694" s="8"/>
      <c r="R1694" s="2">
        <v>1</v>
      </c>
      <c r="S1694" s="9">
        <v>4500</v>
      </c>
      <c r="T1694" s="10">
        <f t="shared" si="474"/>
        <v>2250</v>
      </c>
      <c r="U1694" s="9">
        <v>2</v>
      </c>
      <c r="V1694" s="10">
        <f t="shared" si="446"/>
        <v>2248</v>
      </c>
      <c r="W1694" s="4" t="s">
        <v>122</v>
      </c>
      <c r="X1694" s="2"/>
      <c r="Y1694" s="11">
        <v>2</v>
      </c>
      <c r="Z1694" s="12">
        <f t="shared" si="447"/>
        <v>1</v>
      </c>
      <c r="AA1694" s="4" t="s">
        <v>117</v>
      </c>
      <c r="AC1694" s="176">
        <f t="shared" si="443"/>
        <v>1.8181818181818182E-3</v>
      </c>
    </row>
    <row r="1695" spans="2:29">
      <c r="B1695" s="183">
        <f t="shared" si="457"/>
        <v>49</v>
      </c>
      <c r="C1695" s="107" t="str">
        <f t="shared" si="458"/>
        <v>ATK</v>
      </c>
      <c r="D1695" s="2" t="s">
        <v>5396</v>
      </c>
      <c r="E1695" s="3">
        <v>44166</v>
      </c>
      <c r="F1695" s="3">
        <v>44166</v>
      </c>
      <c r="G1695" s="108">
        <f t="shared" si="459"/>
        <v>12</v>
      </c>
      <c r="H1695" s="108" t="str">
        <f t="shared" si="460"/>
        <v>완료</v>
      </c>
      <c r="I1695" s="112" t="s">
        <v>218</v>
      </c>
      <c r="J1695" s="4" t="s">
        <v>499</v>
      </c>
      <c r="K1695" s="5" t="s">
        <v>499</v>
      </c>
      <c r="L1695" s="6" t="str">
        <f t="shared" si="444"/>
        <v>QA</v>
      </c>
      <c r="M1695" s="204" t="str">
        <f t="shared" si="444"/>
        <v>QA</v>
      </c>
      <c r="N1695" s="7" t="s">
        <v>5355</v>
      </c>
      <c r="O1695" s="13" t="s">
        <v>5356</v>
      </c>
      <c r="P1695" s="115" t="s">
        <v>5357</v>
      </c>
      <c r="Q1695" s="8"/>
      <c r="R1695" s="2">
        <v>1</v>
      </c>
      <c r="S1695" s="9">
        <v>500</v>
      </c>
      <c r="T1695" s="10">
        <f t="shared" si="474"/>
        <v>250</v>
      </c>
      <c r="U1695" s="9">
        <v>0</v>
      </c>
      <c r="V1695" s="10">
        <f t="shared" si="446"/>
        <v>250</v>
      </c>
      <c r="W1695" s="4" t="s">
        <v>122</v>
      </c>
      <c r="X1695" s="2"/>
      <c r="Y1695" s="11"/>
      <c r="Z1695" s="12">
        <f t="shared" si="447"/>
        <v>0</v>
      </c>
      <c r="AA1695" s="4" t="s">
        <v>212</v>
      </c>
      <c r="AC1695" s="176">
        <f t="shared" si="443"/>
        <v>0</v>
      </c>
    </row>
    <row r="1696" spans="2:29">
      <c r="B1696" s="183">
        <f t="shared" si="457"/>
        <v>49</v>
      </c>
      <c r="C1696" s="107" t="str">
        <f t="shared" si="458"/>
        <v>ATK</v>
      </c>
      <c r="D1696" s="2" t="s">
        <v>541</v>
      </c>
      <c r="E1696" s="3">
        <v>44165</v>
      </c>
      <c r="F1696" s="3">
        <v>44166</v>
      </c>
      <c r="G1696" s="108">
        <f t="shared" si="459"/>
        <v>12</v>
      </c>
      <c r="H1696" s="108" t="str">
        <f t="shared" si="460"/>
        <v>완료</v>
      </c>
      <c r="I1696" s="112" t="s">
        <v>218</v>
      </c>
      <c r="J1696" s="4" t="s">
        <v>132</v>
      </c>
      <c r="K1696" s="5" t="s">
        <v>322</v>
      </c>
      <c r="L1696" s="6" t="str">
        <f t="shared" si="444"/>
        <v>3T1</v>
      </c>
      <c r="M1696" s="13" t="s">
        <v>542</v>
      </c>
      <c r="N1696" s="7" t="s">
        <v>4530</v>
      </c>
      <c r="O1696" s="13" t="s">
        <v>543</v>
      </c>
      <c r="P1696" s="115" t="s">
        <v>544</v>
      </c>
      <c r="Q1696" s="8" t="s">
        <v>5358</v>
      </c>
      <c r="R1696" s="2">
        <v>1</v>
      </c>
      <c r="S1696" s="9">
        <v>70</v>
      </c>
      <c r="T1696" s="10">
        <f t="shared" si="474"/>
        <v>35</v>
      </c>
      <c r="U1696" s="9">
        <v>1</v>
      </c>
      <c r="V1696" s="10">
        <f t="shared" si="446"/>
        <v>34</v>
      </c>
      <c r="W1696" s="4" t="s">
        <v>122</v>
      </c>
      <c r="X1696" s="2"/>
      <c r="Y1696" s="11">
        <v>3</v>
      </c>
      <c r="Z1696" s="12">
        <f t="shared" si="447"/>
        <v>1</v>
      </c>
      <c r="AA1696" s="4" t="s">
        <v>120</v>
      </c>
      <c r="AC1696" s="176">
        <f t="shared" si="443"/>
        <v>9.0909090909090909E-4</v>
      </c>
    </row>
    <row r="1697" spans="2:29">
      <c r="B1697" s="183">
        <f t="shared" si="457"/>
        <v>49</v>
      </c>
      <c r="C1697" s="107" t="str">
        <f t="shared" si="458"/>
        <v>ATK</v>
      </c>
      <c r="D1697" s="2" t="s">
        <v>541</v>
      </c>
      <c r="E1697" s="3">
        <v>44165</v>
      </c>
      <c r="F1697" s="3">
        <v>44166</v>
      </c>
      <c r="G1697" s="108">
        <f t="shared" si="459"/>
        <v>12</v>
      </c>
      <c r="H1697" s="108" t="str">
        <f t="shared" si="460"/>
        <v>완료</v>
      </c>
      <c r="I1697" s="112" t="s">
        <v>218</v>
      </c>
      <c r="J1697" s="4" t="s">
        <v>132</v>
      </c>
      <c r="K1697" s="5" t="s">
        <v>322</v>
      </c>
      <c r="L1697" s="6" t="str">
        <f t="shared" si="444"/>
        <v>3T1</v>
      </c>
      <c r="M1697" s="13" t="s">
        <v>5359</v>
      </c>
      <c r="N1697" s="7" t="s">
        <v>5360</v>
      </c>
      <c r="O1697" s="13" t="s">
        <v>5361</v>
      </c>
      <c r="P1697" s="115" t="s">
        <v>5362</v>
      </c>
      <c r="Q1697" s="8" t="s">
        <v>5363</v>
      </c>
      <c r="R1697" s="2">
        <v>1</v>
      </c>
      <c r="S1697" s="9">
        <v>550</v>
      </c>
      <c r="T1697" s="10">
        <f t="shared" si="474"/>
        <v>275</v>
      </c>
      <c r="U1697" s="9">
        <v>10</v>
      </c>
      <c r="V1697" s="10">
        <f t="shared" si="446"/>
        <v>265</v>
      </c>
      <c r="W1697" s="4" t="s">
        <v>122</v>
      </c>
      <c r="X1697" s="2"/>
      <c r="Y1697" s="11">
        <v>11</v>
      </c>
      <c r="Z1697" s="12">
        <f t="shared" si="447"/>
        <v>1</v>
      </c>
      <c r="AA1697" s="4" t="s">
        <v>120</v>
      </c>
      <c r="AC1697" s="176">
        <f t="shared" si="443"/>
        <v>9.0909090909090905E-3</v>
      </c>
    </row>
    <row r="1698" spans="2:29">
      <c r="B1698" s="183">
        <f t="shared" si="457"/>
        <v>49</v>
      </c>
      <c r="C1698" s="107" t="str">
        <f t="shared" si="458"/>
        <v>ATK</v>
      </c>
      <c r="D1698" s="2" t="s">
        <v>5367</v>
      </c>
      <c r="E1698" s="3">
        <v>44166</v>
      </c>
      <c r="F1698" s="3">
        <v>44166</v>
      </c>
      <c r="G1698" s="108">
        <f t="shared" si="459"/>
        <v>12</v>
      </c>
      <c r="H1698" s="108" t="str">
        <f t="shared" si="460"/>
        <v>완료</v>
      </c>
      <c r="I1698" s="112" t="s">
        <v>218</v>
      </c>
      <c r="J1698" s="4" t="s">
        <v>121</v>
      </c>
      <c r="K1698" s="5" t="s">
        <v>136</v>
      </c>
      <c r="L1698" s="6" t="str">
        <f t="shared" si="444"/>
        <v>5T1</v>
      </c>
      <c r="M1698" s="13" t="s">
        <v>5364</v>
      </c>
      <c r="N1698" s="7" t="s">
        <v>1894</v>
      </c>
      <c r="O1698" s="13" t="s">
        <v>5365</v>
      </c>
      <c r="P1698" s="115" t="s">
        <v>5366</v>
      </c>
      <c r="Q1698" s="8"/>
      <c r="R1698" s="2">
        <v>1</v>
      </c>
      <c r="S1698" s="9">
        <v>3600</v>
      </c>
      <c r="T1698" s="10">
        <f t="shared" si="474"/>
        <v>1800</v>
      </c>
      <c r="U1698" s="9">
        <v>25</v>
      </c>
      <c r="V1698" s="10">
        <f t="shared" si="446"/>
        <v>1775</v>
      </c>
      <c r="W1698" s="4" t="s">
        <v>122</v>
      </c>
      <c r="X1698" s="2"/>
      <c r="Y1698" s="11">
        <v>1</v>
      </c>
      <c r="Z1698" s="12">
        <f t="shared" si="447"/>
        <v>0</v>
      </c>
      <c r="AA1698" s="4" t="s">
        <v>117</v>
      </c>
      <c r="AC1698" s="176">
        <f t="shared" si="443"/>
        <v>2.2727272727272728E-2</v>
      </c>
    </row>
    <row r="1699" spans="2:29">
      <c r="B1699" s="183">
        <f t="shared" si="457"/>
        <v>49</v>
      </c>
      <c r="C1699" s="107" t="str">
        <f t="shared" si="458"/>
        <v>ATK</v>
      </c>
      <c r="D1699" s="2" t="s">
        <v>5367</v>
      </c>
      <c r="E1699" s="3">
        <v>44166</v>
      </c>
      <c r="F1699" s="3">
        <v>44167</v>
      </c>
      <c r="G1699" s="108">
        <f t="shared" si="459"/>
        <v>12</v>
      </c>
      <c r="H1699" s="108" t="str">
        <f t="shared" si="460"/>
        <v>완료</v>
      </c>
      <c r="I1699" s="112" t="s">
        <v>218</v>
      </c>
      <c r="J1699" s="4" t="s">
        <v>121</v>
      </c>
      <c r="K1699" s="5" t="s">
        <v>136</v>
      </c>
      <c r="L1699" s="6" t="str">
        <f t="shared" si="444"/>
        <v>5T1</v>
      </c>
      <c r="M1699" s="13" t="s">
        <v>5364</v>
      </c>
      <c r="N1699" s="7" t="s">
        <v>1894</v>
      </c>
      <c r="O1699" s="13" t="s">
        <v>5368</v>
      </c>
      <c r="P1699" s="115" t="s">
        <v>5369</v>
      </c>
      <c r="Q1699" s="8"/>
      <c r="R1699" s="2">
        <v>1</v>
      </c>
      <c r="S1699" s="9">
        <v>2000</v>
      </c>
      <c r="T1699" s="10">
        <f t="shared" si="445"/>
        <v>1000</v>
      </c>
      <c r="U1699" s="9">
        <v>0</v>
      </c>
      <c r="V1699" s="10">
        <f t="shared" si="446"/>
        <v>1000</v>
      </c>
      <c r="W1699" s="4" t="s">
        <v>122</v>
      </c>
      <c r="X1699" s="2"/>
      <c r="Y1699" s="11">
        <v>6</v>
      </c>
      <c r="Z1699" s="12">
        <f t="shared" si="447"/>
        <v>1</v>
      </c>
      <c r="AA1699" s="4" t="s">
        <v>27</v>
      </c>
      <c r="AC1699" s="176">
        <f t="shared" si="443"/>
        <v>0</v>
      </c>
    </row>
    <row r="1700" spans="2:29">
      <c r="B1700" s="183">
        <f t="shared" si="457"/>
        <v>50</v>
      </c>
      <c r="C1700" s="107" t="str">
        <f t="shared" si="458"/>
        <v>ATK</v>
      </c>
      <c r="D1700" s="2" t="s">
        <v>5455</v>
      </c>
      <c r="E1700" s="3">
        <v>44166</v>
      </c>
      <c r="F1700" s="3">
        <v>44176</v>
      </c>
      <c r="G1700" s="108">
        <f t="shared" si="459"/>
        <v>12</v>
      </c>
      <c r="H1700" s="108" t="str">
        <f t="shared" si="460"/>
        <v>완료</v>
      </c>
      <c r="I1700" s="112" t="s">
        <v>218</v>
      </c>
      <c r="J1700" s="4" t="s">
        <v>5456</v>
      </c>
      <c r="K1700" s="5" t="s">
        <v>5456</v>
      </c>
      <c r="L1700" s="6" t="str">
        <f t="shared" si="444"/>
        <v>QA</v>
      </c>
      <c r="M1700" s="13" t="s">
        <v>270</v>
      </c>
      <c r="N1700" s="7" t="s">
        <v>5457</v>
      </c>
      <c r="O1700" s="13" t="s">
        <v>270</v>
      </c>
      <c r="P1700" s="115" t="s">
        <v>5458</v>
      </c>
      <c r="Q1700" s="8"/>
      <c r="R1700" s="2">
        <v>3</v>
      </c>
      <c r="S1700" s="9">
        <v>910</v>
      </c>
      <c r="T1700" s="10">
        <f t="shared" si="445"/>
        <v>1365</v>
      </c>
      <c r="U1700" s="9">
        <v>10</v>
      </c>
      <c r="V1700" s="10">
        <f t="shared" si="446"/>
        <v>1355</v>
      </c>
      <c r="W1700" s="4" t="s">
        <v>5459</v>
      </c>
      <c r="X1700" s="2"/>
      <c r="Y1700" s="11">
        <v>6</v>
      </c>
      <c r="Z1700" s="12">
        <f t="shared" si="447"/>
        <v>10</v>
      </c>
      <c r="AA1700" s="4" t="s">
        <v>5460</v>
      </c>
      <c r="AC1700" s="176">
        <f t="shared" si="443"/>
        <v>9.0909090909090905E-3</v>
      </c>
    </row>
    <row r="1701" spans="2:29">
      <c r="B1701" s="183">
        <f t="shared" si="457"/>
        <v>49</v>
      </c>
      <c r="C1701" s="107" t="str">
        <f t="shared" si="458"/>
        <v>ATK</v>
      </c>
      <c r="D1701" s="2" t="s">
        <v>5339</v>
      </c>
      <c r="E1701" s="3">
        <v>44166</v>
      </c>
      <c r="F1701" s="3">
        <v>44166</v>
      </c>
      <c r="G1701" s="108">
        <f t="shared" si="459"/>
        <v>12</v>
      </c>
      <c r="H1701" s="108" t="str">
        <f t="shared" si="460"/>
        <v>완료</v>
      </c>
      <c r="I1701" s="112" t="s">
        <v>218</v>
      </c>
      <c r="J1701" s="4" t="s">
        <v>127</v>
      </c>
      <c r="K1701" s="5" t="s">
        <v>131</v>
      </c>
      <c r="L1701" s="6" t="str">
        <f t="shared" si="444"/>
        <v>1T4</v>
      </c>
      <c r="M1701" s="13" t="s">
        <v>456</v>
      </c>
      <c r="N1701" s="7" t="s">
        <v>1444</v>
      </c>
      <c r="O1701" s="13" t="s">
        <v>5371</v>
      </c>
      <c r="P1701" s="115" t="s">
        <v>5370</v>
      </c>
      <c r="Q1701" s="8" t="s">
        <v>5372</v>
      </c>
      <c r="R1701" s="2">
        <v>1</v>
      </c>
      <c r="S1701" s="9">
        <v>8000</v>
      </c>
      <c r="T1701" s="10">
        <f t="shared" si="445"/>
        <v>4000</v>
      </c>
      <c r="U1701" s="9">
        <v>0</v>
      </c>
      <c r="V1701" s="10">
        <f t="shared" si="446"/>
        <v>4000</v>
      </c>
      <c r="W1701" s="4" t="s">
        <v>122</v>
      </c>
      <c r="X1701" s="2"/>
      <c r="Y1701" s="11">
        <v>2</v>
      </c>
      <c r="Z1701" s="12">
        <f t="shared" si="447"/>
        <v>0</v>
      </c>
      <c r="AA1701" s="4" t="s">
        <v>120</v>
      </c>
      <c r="AC1701" s="176">
        <f t="shared" si="443"/>
        <v>0</v>
      </c>
    </row>
    <row r="1702" spans="2:29">
      <c r="B1702" s="183">
        <f t="shared" si="457"/>
        <v>49</v>
      </c>
      <c r="C1702" s="107" t="str">
        <f t="shared" si="458"/>
        <v>ATK</v>
      </c>
      <c r="D1702" s="2" t="s">
        <v>5373</v>
      </c>
      <c r="E1702" s="3">
        <v>44166</v>
      </c>
      <c r="F1702" s="3">
        <v>44167</v>
      </c>
      <c r="G1702" s="108">
        <f t="shared" si="459"/>
        <v>12</v>
      </c>
      <c r="H1702" s="108" t="str">
        <f t="shared" si="460"/>
        <v>완료</v>
      </c>
      <c r="I1702" s="112" t="s">
        <v>218</v>
      </c>
      <c r="J1702" s="4" t="s">
        <v>173</v>
      </c>
      <c r="K1702" s="5" t="s">
        <v>851</v>
      </c>
      <c r="L1702" s="6" t="str">
        <f t="shared" si="444"/>
        <v>6T1</v>
      </c>
      <c r="M1702" s="13" t="s">
        <v>5374</v>
      </c>
      <c r="N1702" s="7" t="s">
        <v>5375</v>
      </c>
      <c r="O1702" s="13" t="s">
        <v>284</v>
      </c>
      <c r="P1702" s="115" t="s">
        <v>5376</v>
      </c>
      <c r="Q1702" s="8"/>
      <c r="R1702" s="2">
        <v>1</v>
      </c>
      <c r="S1702" s="9">
        <v>1500</v>
      </c>
      <c r="T1702" s="10">
        <f t="shared" si="445"/>
        <v>750</v>
      </c>
      <c r="U1702" s="9">
        <v>0</v>
      </c>
      <c r="V1702" s="10">
        <f t="shared" si="446"/>
        <v>750</v>
      </c>
      <c r="W1702" s="4" t="s">
        <v>122</v>
      </c>
      <c r="X1702" s="2"/>
      <c r="Y1702" s="11">
        <v>4</v>
      </c>
      <c r="Z1702" s="12">
        <f t="shared" si="447"/>
        <v>1</v>
      </c>
      <c r="AA1702" s="4" t="s">
        <v>212</v>
      </c>
      <c r="AC1702" s="176">
        <f t="shared" si="443"/>
        <v>0</v>
      </c>
    </row>
    <row r="1703" spans="2:29">
      <c r="B1703" s="183">
        <f t="shared" si="457"/>
        <v>49</v>
      </c>
      <c r="C1703" s="107" t="str">
        <f t="shared" si="458"/>
        <v>ATK</v>
      </c>
      <c r="D1703" s="2" t="s">
        <v>5373</v>
      </c>
      <c r="E1703" s="3">
        <v>44166</v>
      </c>
      <c r="F1703" s="3">
        <v>44167</v>
      </c>
      <c r="G1703" s="108">
        <f t="shared" si="459"/>
        <v>12</v>
      </c>
      <c r="H1703" s="108" t="str">
        <f t="shared" si="460"/>
        <v>완료</v>
      </c>
      <c r="I1703" s="112" t="s">
        <v>218</v>
      </c>
      <c r="J1703" s="4" t="s">
        <v>173</v>
      </c>
      <c r="K1703" s="5" t="s">
        <v>851</v>
      </c>
      <c r="L1703" s="6" t="str">
        <f t="shared" ref="L1703:L1705" si="476">LEFT(K1703,3)</f>
        <v>6T1</v>
      </c>
      <c r="M1703" s="13" t="s">
        <v>5374</v>
      </c>
      <c r="N1703" s="7" t="s">
        <v>5375</v>
      </c>
      <c r="O1703" s="13" t="s">
        <v>284</v>
      </c>
      <c r="P1703" s="115" t="s">
        <v>5377</v>
      </c>
      <c r="Q1703" s="8"/>
      <c r="R1703" s="2">
        <v>2</v>
      </c>
      <c r="S1703" s="9">
        <v>1500</v>
      </c>
      <c r="T1703" s="10">
        <f t="shared" si="445"/>
        <v>1500</v>
      </c>
      <c r="U1703" s="9">
        <v>50</v>
      </c>
      <c r="V1703" s="10">
        <f t="shared" si="446"/>
        <v>1450</v>
      </c>
      <c r="W1703" s="4" t="s">
        <v>122</v>
      </c>
      <c r="X1703" s="2"/>
      <c r="Y1703" s="11">
        <v>5</v>
      </c>
      <c r="Z1703" s="12">
        <f t="shared" si="447"/>
        <v>1</v>
      </c>
      <c r="AA1703" s="4" t="s">
        <v>212</v>
      </c>
      <c r="AC1703" s="176">
        <f t="shared" si="443"/>
        <v>4.5454545454545456E-2</v>
      </c>
    </row>
    <row r="1704" spans="2:29">
      <c r="B1704" s="183">
        <f t="shared" si="457"/>
        <v>49</v>
      </c>
      <c r="C1704" s="107" t="str">
        <f t="shared" si="458"/>
        <v>ATK</v>
      </c>
      <c r="D1704" s="2" t="s">
        <v>3293</v>
      </c>
      <c r="E1704" s="3">
        <v>44166</v>
      </c>
      <c r="F1704" s="3">
        <v>44166</v>
      </c>
      <c r="G1704" s="108">
        <f t="shared" si="459"/>
        <v>12</v>
      </c>
      <c r="H1704" s="108" t="str">
        <f t="shared" si="460"/>
        <v>Other</v>
      </c>
      <c r="I1704" s="112" t="s">
        <v>31</v>
      </c>
      <c r="J1704" s="4" t="s">
        <v>31</v>
      </c>
      <c r="K1704" s="5" t="s">
        <v>31</v>
      </c>
      <c r="L1704" s="6" t="str">
        <f t="shared" si="476"/>
        <v>Oth</v>
      </c>
      <c r="M1704" s="13" t="s">
        <v>3293</v>
      </c>
      <c r="N1704" s="7" t="s">
        <v>5191</v>
      </c>
      <c r="O1704" s="13" t="s">
        <v>226</v>
      </c>
      <c r="P1704" s="115" t="s">
        <v>5378</v>
      </c>
      <c r="Q1704" s="8"/>
      <c r="R1704" s="2">
        <v>1</v>
      </c>
      <c r="S1704" s="9">
        <v>0</v>
      </c>
      <c r="T1704" s="10">
        <f t="shared" si="445"/>
        <v>0</v>
      </c>
      <c r="U1704" s="9">
        <v>0</v>
      </c>
      <c r="V1704" s="10">
        <f t="shared" ref="V1704:V1705" si="477">T1704-U1704</f>
        <v>0</v>
      </c>
      <c r="W1704" s="4" t="s">
        <v>249</v>
      </c>
      <c r="X1704" s="2"/>
      <c r="Y1704" s="11">
        <v>1</v>
      </c>
      <c r="Z1704" s="12">
        <f t="shared" ref="Z1704:Z1705" si="478">F1704-E1704</f>
        <v>0</v>
      </c>
      <c r="AA1704" s="4" t="s">
        <v>174</v>
      </c>
      <c r="AC1704" s="176">
        <f t="shared" si="443"/>
        <v>0</v>
      </c>
    </row>
    <row r="1705" spans="2:29">
      <c r="B1705" s="183">
        <f t="shared" si="457"/>
        <v>49</v>
      </c>
      <c r="C1705" s="107" t="str">
        <f t="shared" si="458"/>
        <v>ATK</v>
      </c>
      <c r="D1705" s="2" t="s">
        <v>3293</v>
      </c>
      <c r="E1705" s="3">
        <v>44166</v>
      </c>
      <c r="F1705" s="3">
        <v>44166</v>
      </c>
      <c r="G1705" s="108">
        <f t="shared" si="459"/>
        <v>12</v>
      </c>
      <c r="H1705" s="108" t="str">
        <f t="shared" si="460"/>
        <v>Other</v>
      </c>
      <c r="I1705" s="112" t="s">
        <v>251</v>
      </c>
      <c r="J1705" s="4" t="s">
        <v>31</v>
      </c>
      <c r="K1705" s="5" t="s">
        <v>31</v>
      </c>
      <c r="L1705" s="6" t="str">
        <f t="shared" si="476"/>
        <v>Oth</v>
      </c>
      <c r="M1705" s="13" t="s">
        <v>3293</v>
      </c>
      <c r="N1705" s="7" t="s">
        <v>5191</v>
      </c>
      <c r="O1705" s="13" t="s">
        <v>226</v>
      </c>
      <c r="P1705" s="115" t="s">
        <v>5378</v>
      </c>
      <c r="Q1705" s="8"/>
      <c r="R1705" s="2">
        <v>1</v>
      </c>
      <c r="S1705" s="9">
        <v>0</v>
      </c>
      <c r="T1705" s="10">
        <f t="shared" si="445"/>
        <v>0</v>
      </c>
      <c r="U1705" s="9">
        <v>0</v>
      </c>
      <c r="V1705" s="10">
        <f t="shared" si="477"/>
        <v>0</v>
      </c>
      <c r="W1705" s="4" t="s">
        <v>249</v>
      </c>
      <c r="X1705" s="2"/>
      <c r="Y1705" s="11">
        <v>1</v>
      </c>
      <c r="Z1705" s="12">
        <f t="shared" si="478"/>
        <v>0</v>
      </c>
      <c r="AA1705" s="4" t="s">
        <v>30</v>
      </c>
      <c r="AC1705" s="176">
        <f t="shared" si="443"/>
        <v>0</v>
      </c>
    </row>
    <row r="1706" spans="2:29">
      <c r="B1706" s="183">
        <f t="shared" si="457"/>
        <v>49</v>
      </c>
      <c r="C1706" s="107" t="str">
        <f t="shared" si="458"/>
        <v>ATK</v>
      </c>
      <c r="D1706" s="2" t="s">
        <v>5380</v>
      </c>
      <c r="E1706" s="3">
        <v>44166</v>
      </c>
      <c r="F1706" s="3">
        <v>44168</v>
      </c>
      <c r="G1706" s="108">
        <f t="shared" si="459"/>
        <v>12</v>
      </c>
      <c r="H1706" s="108" t="str">
        <f t="shared" si="460"/>
        <v>완료</v>
      </c>
      <c r="I1706" s="112" t="s">
        <v>218</v>
      </c>
      <c r="J1706" s="4" t="s">
        <v>5381</v>
      </c>
      <c r="K1706" s="5" t="s">
        <v>5382</v>
      </c>
      <c r="L1706" s="6" t="str">
        <f t="shared" ref="L1706:L1719" si="479">LEFT(K1706,3)</f>
        <v>2T2</v>
      </c>
      <c r="M1706" s="13" t="s">
        <v>256</v>
      </c>
      <c r="N1706" s="13" t="s">
        <v>3527</v>
      </c>
      <c r="O1706" s="7" t="s">
        <v>362</v>
      </c>
      <c r="P1706" s="115" t="s">
        <v>1776</v>
      </c>
      <c r="Q1706" s="8"/>
      <c r="R1706" s="2">
        <v>2</v>
      </c>
      <c r="S1706" s="9">
        <v>500</v>
      </c>
      <c r="T1706" s="10">
        <f t="shared" ref="T1706" si="480">(S1706*50)/100*R1706</f>
        <v>500</v>
      </c>
      <c r="U1706" s="9">
        <v>80</v>
      </c>
      <c r="V1706" s="10">
        <f t="shared" ref="V1706" si="481">T1706-U1706</f>
        <v>420</v>
      </c>
      <c r="W1706" s="4" t="s">
        <v>122</v>
      </c>
      <c r="X1706" s="2"/>
      <c r="Y1706" s="11">
        <v>2</v>
      </c>
      <c r="Z1706" s="12">
        <f t="shared" ref="Z1706:Z1711" si="482">F1706-E1706</f>
        <v>2</v>
      </c>
      <c r="AA1706" s="4" t="s">
        <v>174</v>
      </c>
      <c r="AC1706" s="176">
        <f t="shared" si="443"/>
        <v>7.2727272727272724E-2</v>
      </c>
    </row>
    <row r="1707" spans="2:29">
      <c r="B1707" s="183">
        <f t="shared" si="457"/>
        <v>49</v>
      </c>
      <c r="C1707" s="107" t="str">
        <f t="shared" si="458"/>
        <v>ATJ</v>
      </c>
      <c r="D1707" s="2" t="s">
        <v>5385</v>
      </c>
      <c r="E1707" s="3">
        <v>44165</v>
      </c>
      <c r="F1707" s="3">
        <v>44167</v>
      </c>
      <c r="G1707" s="108">
        <f t="shared" si="459"/>
        <v>12</v>
      </c>
      <c r="H1707" s="108" t="str">
        <f t="shared" si="460"/>
        <v>완료</v>
      </c>
      <c r="I1707" s="112" t="s">
        <v>218</v>
      </c>
      <c r="J1707" s="4" t="s">
        <v>5385</v>
      </c>
      <c r="K1707" s="5" t="s">
        <v>5395</v>
      </c>
      <c r="L1707" s="6" t="str">
        <f t="shared" si="479"/>
        <v>ATJ</v>
      </c>
      <c r="M1707" s="13" t="s">
        <v>256</v>
      </c>
      <c r="N1707" s="13" t="s">
        <v>3621</v>
      </c>
      <c r="O1707" s="7" t="s">
        <v>5386</v>
      </c>
      <c r="P1707" s="115"/>
      <c r="Q1707" s="8"/>
      <c r="R1707" s="2">
        <v>1</v>
      </c>
      <c r="S1707" s="9">
        <v>2500</v>
      </c>
      <c r="T1707" s="10">
        <f t="shared" ref="T1707:T1711" si="483">(S1707*50)/100*R1707</f>
        <v>1250</v>
      </c>
      <c r="U1707" s="9">
        <v>15</v>
      </c>
      <c r="V1707" s="10">
        <f t="shared" ref="V1707:V1711" si="484">T1707-U1707</f>
        <v>1235</v>
      </c>
      <c r="W1707" s="4" t="s">
        <v>122</v>
      </c>
      <c r="X1707" s="2"/>
      <c r="Y1707" s="11">
        <v>2</v>
      </c>
      <c r="Z1707" s="12">
        <f t="shared" si="482"/>
        <v>2</v>
      </c>
      <c r="AA1707" s="4" t="s">
        <v>5390</v>
      </c>
      <c r="AC1707" s="176">
        <f t="shared" si="443"/>
        <v>1.3636363636363636E-2</v>
      </c>
    </row>
    <row r="1708" spans="2:29">
      <c r="B1708" s="183">
        <f t="shared" si="457"/>
        <v>49</v>
      </c>
      <c r="C1708" s="107" t="str">
        <f t="shared" si="458"/>
        <v>ATJ</v>
      </c>
      <c r="D1708" s="2" t="s">
        <v>5385</v>
      </c>
      <c r="E1708" s="3">
        <v>44165</v>
      </c>
      <c r="F1708" s="3">
        <v>44166</v>
      </c>
      <c r="G1708" s="108">
        <f t="shared" si="459"/>
        <v>12</v>
      </c>
      <c r="H1708" s="108" t="str">
        <f t="shared" si="460"/>
        <v>완료</v>
      </c>
      <c r="I1708" s="112" t="s">
        <v>218</v>
      </c>
      <c r="J1708" s="4" t="s">
        <v>5395</v>
      </c>
      <c r="K1708" s="5" t="s">
        <v>5395</v>
      </c>
      <c r="L1708" s="6" t="str">
        <f t="shared" si="479"/>
        <v>ATJ</v>
      </c>
      <c r="M1708" s="13" t="s">
        <v>256</v>
      </c>
      <c r="N1708" s="13" t="s">
        <v>3621</v>
      </c>
      <c r="O1708" s="7" t="s">
        <v>5386</v>
      </c>
      <c r="P1708" s="115"/>
      <c r="Q1708" s="8"/>
      <c r="R1708" s="2">
        <v>1</v>
      </c>
      <c r="S1708" s="9">
        <v>2500</v>
      </c>
      <c r="T1708" s="10">
        <f t="shared" si="483"/>
        <v>1250</v>
      </c>
      <c r="U1708" s="9">
        <v>15</v>
      </c>
      <c r="V1708" s="10">
        <f t="shared" si="484"/>
        <v>1235</v>
      </c>
      <c r="W1708" s="4" t="s">
        <v>122</v>
      </c>
      <c r="X1708" s="2"/>
      <c r="Y1708" s="11">
        <v>2</v>
      </c>
      <c r="Z1708" s="12">
        <f t="shared" si="482"/>
        <v>1</v>
      </c>
      <c r="AA1708" s="4" t="s">
        <v>5390</v>
      </c>
      <c r="AC1708" s="176">
        <f t="shared" si="443"/>
        <v>1.3636363636363636E-2</v>
      </c>
    </row>
    <row r="1709" spans="2:29">
      <c r="B1709" s="183">
        <f t="shared" si="457"/>
        <v>49</v>
      </c>
      <c r="C1709" s="107" t="str">
        <f t="shared" si="458"/>
        <v>ATJ</v>
      </c>
      <c r="D1709" s="2" t="s">
        <v>5385</v>
      </c>
      <c r="E1709" s="3">
        <v>44165</v>
      </c>
      <c r="F1709" s="3">
        <v>44167</v>
      </c>
      <c r="G1709" s="108">
        <f t="shared" si="459"/>
        <v>12</v>
      </c>
      <c r="H1709" s="108" t="str">
        <f t="shared" si="460"/>
        <v>완료</v>
      </c>
      <c r="I1709" s="112" t="s">
        <v>218</v>
      </c>
      <c r="J1709" s="4" t="s">
        <v>5395</v>
      </c>
      <c r="K1709" s="5" t="s">
        <v>5395</v>
      </c>
      <c r="L1709" s="6" t="str">
        <f t="shared" si="479"/>
        <v>ATJ</v>
      </c>
      <c r="M1709" s="13" t="s">
        <v>256</v>
      </c>
      <c r="N1709" s="13" t="s">
        <v>3621</v>
      </c>
      <c r="O1709" s="7" t="s">
        <v>5387</v>
      </c>
      <c r="P1709" s="115"/>
      <c r="Q1709" s="8"/>
      <c r="R1709" s="2">
        <v>1</v>
      </c>
      <c r="S1709" s="9">
        <v>3500</v>
      </c>
      <c r="T1709" s="10">
        <f t="shared" si="483"/>
        <v>1750</v>
      </c>
      <c r="U1709" s="9">
        <v>20</v>
      </c>
      <c r="V1709" s="10">
        <f t="shared" si="484"/>
        <v>1730</v>
      </c>
      <c r="W1709" s="4" t="s">
        <v>122</v>
      </c>
      <c r="X1709" s="2"/>
      <c r="Y1709" s="11">
        <v>6</v>
      </c>
      <c r="Z1709" s="12">
        <f t="shared" si="482"/>
        <v>2</v>
      </c>
      <c r="AA1709" s="4" t="s">
        <v>5391</v>
      </c>
      <c r="AC1709" s="176">
        <f t="shared" ref="AC1709:AC1737" si="485">U1709/1100</f>
        <v>1.8181818181818181E-2</v>
      </c>
    </row>
    <row r="1710" spans="2:29">
      <c r="B1710" s="183">
        <f t="shared" si="457"/>
        <v>49</v>
      </c>
      <c r="C1710" s="107" t="str">
        <f t="shared" si="458"/>
        <v>ATJ</v>
      </c>
      <c r="D1710" s="2" t="s">
        <v>5385</v>
      </c>
      <c r="E1710" s="3">
        <v>44165</v>
      </c>
      <c r="F1710" s="3">
        <v>44166</v>
      </c>
      <c r="G1710" s="108">
        <f t="shared" si="459"/>
        <v>12</v>
      </c>
      <c r="H1710" s="108" t="str">
        <f t="shared" si="460"/>
        <v>완료</v>
      </c>
      <c r="I1710" s="112" t="s">
        <v>218</v>
      </c>
      <c r="J1710" s="4" t="s">
        <v>5395</v>
      </c>
      <c r="K1710" s="5" t="s">
        <v>5395</v>
      </c>
      <c r="L1710" s="6" t="str">
        <f t="shared" si="479"/>
        <v>ATJ</v>
      </c>
      <c r="M1710" s="13" t="s">
        <v>256</v>
      </c>
      <c r="N1710" s="13" t="s">
        <v>3621</v>
      </c>
      <c r="O1710" s="7" t="s">
        <v>5388</v>
      </c>
      <c r="P1710" s="115"/>
      <c r="Q1710" s="8"/>
      <c r="R1710" s="2">
        <v>1</v>
      </c>
      <c r="S1710" s="9">
        <v>3109</v>
      </c>
      <c r="T1710" s="10">
        <f t="shared" si="483"/>
        <v>1554.5</v>
      </c>
      <c r="U1710" s="9">
        <v>5</v>
      </c>
      <c r="V1710" s="10">
        <f t="shared" si="484"/>
        <v>1549.5</v>
      </c>
      <c r="W1710" s="4" t="s">
        <v>122</v>
      </c>
      <c r="X1710" s="2"/>
      <c r="Y1710" s="11">
        <v>8</v>
      </c>
      <c r="Z1710" s="12">
        <f t="shared" si="482"/>
        <v>1</v>
      </c>
      <c r="AA1710" s="4" t="s">
        <v>5392</v>
      </c>
      <c r="AC1710" s="176">
        <f t="shared" si="485"/>
        <v>4.5454545454545452E-3</v>
      </c>
    </row>
    <row r="1711" spans="2:29">
      <c r="B1711" s="183">
        <f t="shared" si="457"/>
        <v>49</v>
      </c>
      <c r="C1711" s="107" t="str">
        <f t="shared" si="458"/>
        <v>ATJ</v>
      </c>
      <c r="D1711" s="2" t="s">
        <v>5385</v>
      </c>
      <c r="E1711" s="3">
        <v>44166</v>
      </c>
      <c r="F1711" s="3">
        <v>44166</v>
      </c>
      <c r="G1711" s="108">
        <f t="shared" si="459"/>
        <v>12</v>
      </c>
      <c r="H1711" s="108" t="str">
        <f t="shared" si="460"/>
        <v>완료</v>
      </c>
      <c r="I1711" s="112" t="s">
        <v>218</v>
      </c>
      <c r="J1711" s="4" t="s">
        <v>5395</v>
      </c>
      <c r="K1711" s="5" t="s">
        <v>5395</v>
      </c>
      <c r="L1711" s="6" t="str">
        <f t="shared" si="479"/>
        <v>ATJ</v>
      </c>
      <c r="M1711" s="13" t="s">
        <v>256</v>
      </c>
      <c r="N1711" s="13" t="s">
        <v>3621</v>
      </c>
      <c r="O1711" s="7" t="s">
        <v>5389</v>
      </c>
      <c r="P1711" s="115"/>
      <c r="Q1711" s="8"/>
      <c r="R1711" s="2">
        <v>1</v>
      </c>
      <c r="S1711" s="9">
        <v>1900</v>
      </c>
      <c r="T1711" s="10">
        <f t="shared" si="483"/>
        <v>950</v>
      </c>
      <c r="U1711" s="9">
        <v>0</v>
      </c>
      <c r="V1711" s="10">
        <f t="shared" si="484"/>
        <v>950</v>
      </c>
      <c r="W1711" s="4" t="s">
        <v>122</v>
      </c>
      <c r="X1711" s="2"/>
      <c r="Y1711" s="11">
        <v>2</v>
      </c>
      <c r="Z1711" s="12">
        <f t="shared" si="482"/>
        <v>0</v>
      </c>
      <c r="AA1711" s="4" t="s">
        <v>5392</v>
      </c>
      <c r="AC1711" s="176">
        <f t="shared" si="485"/>
        <v>0</v>
      </c>
    </row>
    <row r="1712" spans="2:29">
      <c r="B1712" s="183">
        <f t="shared" si="457"/>
        <v>49</v>
      </c>
      <c r="C1712" s="107" t="str">
        <f t="shared" si="458"/>
        <v>ATK</v>
      </c>
      <c r="D1712" s="2" t="s">
        <v>3293</v>
      </c>
      <c r="E1712" s="3">
        <v>44167</v>
      </c>
      <c r="F1712" s="3">
        <v>44167</v>
      </c>
      <c r="G1712" s="108">
        <f t="shared" si="459"/>
        <v>12</v>
      </c>
      <c r="H1712" s="108" t="str">
        <f t="shared" si="460"/>
        <v>Other</v>
      </c>
      <c r="I1712" s="112" t="s">
        <v>31</v>
      </c>
      <c r="J1712" s="4" t="s">
        <v>31</v>
      </c>
      <c r="K1712" s="5" t="s">
        <v>31</v>
      </c>
      <c r="L1712" s="6" t="str">
        <f t="shared" si="479"/>
        <v>Oth</v>
      </c>
      <c r="M1712" s="13" t="s">
        <v>3293</v>
      </c>
      <c r="N1712" s="7" t="s">
        <v>5191</v>
      </c>
      <c r="O1712" s="13" t="s">
        <v>226</v>
      </c>
      <c r="P1712" s="115" t="s">
        <v>5379</v>
      </c>
      <c r="Q1712" s="8"/>
      <c r="R1712" s="2">
        <v>1</v>
      </c>
      <c r="S1712" s="9">
        <v>0</v>
      </c>
      <c r="T1712" s="10">
        <f t="shared" ref="T1712:T1713" si="486">(S1712*50)/100*R1712</f>
        <v>0</v>
      </c>
      <c r="U1712" s="9">
        <v>0</v>
      </c>
      <c r="V1712" s="10">
        <f t="shared" ref="V1712:V1713" si="487">T1712-U1712</f>
        <v>0</v>
      </c>
      <c r="W1712" s="4" t="s">
        <v>249</v>
      </c>
      <c r="X1712" s="2"/>
      <c r="Y1712" s="11">
        <v>1</v>
      </c>
      <c r="Z1712" s="12">
        <f t="shared" ref="Z1712:Z1713" si="488">F1712-E1712</f>
        <v>0</v>
      </c>
      <c r="AA1712" s="4" t="s">
        <v>174</v>
      </c>
      <c r="AC1712" s="176">
        <f t="shared" si="485"/>
        <v>0</v>
      </c>
    </row>
    <row r="1713" spans="2:29">
      <c r="B1713" s="183">
        <f t="shared" si="457"/>
        <v>49</v>
      </c>
      <c r="C1713" s="107" t="str">
        <f t="shared" si="458"/>
        <v>ATK</v>
      </c>
      <c r="D1713" s="2" t="s">
        <v>3293</v>
      </c>
      <c r="E1713" s="3">
        <v>44167</v>
      </c>
      <c r="F1713" s="3">
        <v>44167</v>
      </c>
      <c r="G1713" s="108">
        <f t="shared" si="459"/>
        <v>12</v>
      </c>
      <c r="H1713" s="108" t="str">
        <f t="shared" si="460"/>
        <v>Other</v>
      </c>
      <c r="I1713" s="112" t="s">
        <v>251</v>
      </c>
      <c r="J1713" s="4" t="s">
        <v>31</v>
      </c>
      <c r="K1713" s="5" t="s">
        <v>31</v>
      </c>
      <c r="L1713" s="6" t="str">
        <f t="shared" si="479"/>
        <v>Oth</v>
      </c>
      <c r="M1713" s="13" t="s">
        <v>3293</v>
      </c>
      <c r="N1713" s="7" t="s">
        <v>5191</v>
      </c>
      <c r="O1713" s="13" t="s">
        <v>226</v>
      </c>
      <c r="P1713" s="115" t="s">
        <v>5379</v>
      </c>
      <c r="Q1713" s="8"/>
      <c r="R1713" s="2">
        <v>1</v>
      </c>
      <c r="S1713" s="9">
        <v>0</v>
      </c>
      <c r="T1713" s="10">
        <f t="shared" si="486"/>
        <v>0</v>
      </c>
      <c r="U1713" s="9">
        <v>0</v>
      </c>
      <c r="V1713" s="10">
        <f t="shared" si="487"/>
        <v>0</v>
      </c>
      <c r="W1713" s="4" t="s">
        <v>249</v>
      </c>
      <c r="X1713" s="2"/>
      <c r="Y1713" s="11">
        <v>1</v>
      </c>
      <c r="Z1713" s="12">
        <f t="shared" si="488"/>
        <v>0</v>
      </c>
      <c r="AA1713" s="4" t="s">
        <v>30</v>
      </c>
      <c r="AC1713" s="176">
        <f t="shared" si="485"/>
        <v>0</v>
      </c>
    </row>
    <row r="1714" spans="2:29">
      <c r="B1714" s="183">
        <f t="shared" si="457"/>
        <v>49</v>
      </c>
      <c r="C1714" s="107" t="str">
        <f t="shared" si="458"/>
        <v>ATK</v>
      </c>
      <c r="D1714" s="2" t="s">
        <v>1394</v>
      </c>
      <c r="E1714" s="3">
        <v>44166</v>
      </c>
      <c r="F1714" s="3">
        <v>44167</v>
      </c>
      <c r="G1714" s="108">
        <f t="shared" si="459"/>
        <v>12</v>
      </c>
      <c r="H1714" s="108" t="str">
        <f t="shared" si="460"/>
        <v>완료</v>
      </c>
      <c r="I1714" s="112" t="s">
        <v>218</v>
      </c>
      <c r="J1714" s="4" t="s">
        <v>481</v>
      </c>
      <c r="K1714" s="5" t="s">
        <v>695</v>
      </c>
      <c r="L1714" s="6" t="str">
        <f t="shared" si="479"/>
        <v>2T2</v>
      </c>
      <c r="M1714" s="13" t="s">
        <v>1226</v>
      </c>
      <c r="N1714" s="7" t="s">
        <v>5383</v>
      </c>
      <c r="O1714" s="13" t="s">
        <v>5384</v>
      </c>
      <c r="P1714" s="115" t="s">
        <v>717</v>
      </c>
      <c r="Q1714" s="8"/>
      <c r="R1714" s="2">
        <v>1</v>
      </c>
      <c r="S1714" s="9">
        <v>2000</v>
      </c>
      <c r="T1714" s="10">
        <f t="shared" si="445"/>
        <v>1000</v>
      </c>
      <c r="U1714" s="9">
        <v>0</v>
      </c>
      <c r="V1714" s="10">
        <f t="shared" si="446"/>
        <v>1000</v>
      </c>
      <c r="W1714" s="4" t="s">
        <v>249</v>
      </c>
      <c r="X1714" s="2"/>
      <c r="Y1714" s="11">
        <v>2</v>
      </c>
      <c r="Z1714" s="12">
        <f t="shared" si="447"/>
        <v>1</v>
      </c>
      <c r="AA1714" s="4" t="s">
        <v>27</v>
      </c>
      <c r="AC1714" s="176">
        <f t="shared" si="485"/>
        <v>0</v>
      </c>
    </row>
    <row r="1715" spans="2:29">
      <c r="B1715" s="183">
        <f t="shared" si="457"/>
        <v>49</v>
      </c>
      <c r="C1715" s="107" t="str">
        <f t="shared" si="458"/>
        <v>ATK</v>
      </c>
      <c r="D1715" s="2" t="s">
        <v>280</v>
      </c>
      <c r="E1715" s="3">
        <v>44166</v>
      </c>
      <c r="F1715" s="3">
        <v>44166</v>
      </c>
      <c r="G1715" s="108">
        <f t="shared" si="459"/>
        <v>12</v>
      </c>
      <c r="H1715" s="108" t="str">
        <f t="shared" si="460"/>
        <v>완료</v>
      </c>
      <c r="I1715" s="112" t="s">
        <v>218</v>
      </c>
      <c r="J1715" s="4" t="s">
        <v>115</v>
      </c>
      <c r="K1715" s="5" t="s">
        <v>138</v>
      </c>
      <c r="L1715" s="6" t="str">
        <f t="shared" si="479"/>
        <v>EE1</v>
      </c>
      <c r="M1715" s="13" t="s">
        <v>5420</v>
      </c>
      <c r="N1715" s="13" t="s">
        <v>5393</v>
      </c>
      <c r="O1715" s="13" t="s">
        <v>284</v>
      </c>
      <c r="P1715" s="115" t="s">
        <v>5394</v>
      </c>
      <c r="Q1715" s="8"/>
      <c r="R1715" s="2">
        <v>1</v>
      </c>
      <c r="S1715" s="9">
        <v>1000</v>
      </c>
      <c r="T1715" s="10">
        <f t="shared" si="445"/>
        <v>500</v>
      </c>
      <c r="U1715" s="9"/>
      <c r="V1715" s="10">
        <f t="shared" si="446"/>
        <v>500</v>
      </c>
      <c r="W1715" s="4" t="s">
        <v>122</v>
      </c>
      <c r="X1715" s="2"/>
      <c r="Y1715" s="11">
        <v>3</v>
      </c>
      <c r="Z1715" s="12">
        <f t="shared" si="447"/>
        <v>0</v>
      </c>
      <c r="AA1715" s="4" t="s">
        <v>212</v>
      </c>
      <c r="AC1715" s="176">
        <f t="shared" si="485"/>
        <v>0</v>
      </c>
    </row>
    <row r="1716" spans="2:29">
      <c r="B1716" s="183">
        <f t="shared" si="457"/>
        <v>50</v>
      </c>
      <c r="C1716" s="107" t="str">
        <f t="shared" si="458"/>
        <v>ATK</v>
      </c>
      <c r="D1716" s="2" t="s">
        <v>455</v>
      </c>
      <c r="E1716" s="3">
        <v>44167</v>
      </c>
      <c r="F1716" s="3">
        <v>44173</v>
      </c>
      <c r="G1716" s="108">
        <f t="shared" si="459"/>
        <v>12</v>
      </c>
      <c r="H1716" s="108" t="str">
        <f t="shared" si="460"/>
        <v>완료</v>
      </c>
      <c r="I1716" s="112" t="s">
        <v>218</v>
      </c>
      <c r="J1716" s="4" t="s">
        <v>118</v>
      </c>
      <c r="K1716" s="5" t="s">
        <v>119</v>
      </c>
      <c r="L1716" s="6" t="str">
        <f t="shared" si="479"/>
        <v>2T3</v>
      </c>
      <c r="M1716" s="13" t="s">
        <v>4844</v>
      </c>
      <c r="N1716" s="7" t="s">
        <v>5327</v>
      </c>
      <c r="O1716" s="13" t="s">
        <v>284</v>
      </c>
      <c r="P1716" s="115" t="s">
        <v>5436</v>
      </c>
      <c r="Q1716" s="8"/>
      <c r="R1716" s="2">
        <v>1</v>
      </c>
      <c r="S1716" s="9">
        <v>1200</v>
      </c>
      <c r="T1716" s="10">
        <f t="shared" si="445"/>
        <v>600</v>
      </c>
      <c r="U1716" s="9">
        <v>23</v>
      </c>
      <c r="V1716" s="10">
        <f t="shared" si="446"/>
        <v>577</v>
      </c>
      <c r="W1716" s="4" t="s">
        <v>122</v>
      </c>
      <c r="X1716" s="2"/>
      <c r="Y1716" s="11">
        <v>5</v>
      </c>
      <c r="Z1716" s="12">
        <f t="shared" si="447"/>
        <v>6</v>
      </c>
      <c r="AA1716" s="4" t="s">
        <v>212</v>
      </c>
      <c r="AC1716" s="176">
        <f t="shared" si="485"/>
        <v>2.0909090909090908E-2</v>
      </c>
    </row>
    <row r="1717" spans="2:29">
      <c r="B1717" s="183">
        <f t="shared" si="457"/>
        <v>49</v>
      </c>
      <c r="C1717" s="107" t="str">
        <f t="shared" si="458"/>
        <v>ATK</v>
      </c>
      <c r="D1717" s="2" t="s">
        <v>664</v>
      </c>
      <c r="E1717" s="3">
        <v>44162</v>
      </c>
      <c r="F1717" s="3">
        <v>44169</v>
      </c>
      <c r="G1717" s="108">
        <f t="shared" si="459"/>
        <v>12</v>
      </c>
      <c r="H1717" s="108" t="str">
        <f t="shared" si="460"/>
        <v>완료</v>
      </c>
      <c r="I1717" s="112" t="s">
        <v>218</v>
      </c>
      <c r="J1717" s="4" t="s">
        <v>808</v>
      </c>
      <c r="K1717" s="5" t="s">
        <v>833</v>
      </c>
      <c r="L1717" s="6" t="str">
        <f t="shared" si="479"/>
        <v>1T3</v>
      </c>
      <c r="M1717" s="13" t="s">
        <v>4536</v>
      </c>
      <c r="N1717" s="7" t="s">
        <v>3529</v>
      </c>
      <c r="O1717" s="13" t="s">
        <v>370</v>
      </c>
      <c r="P1717" s="115" t="s">
        <v>5397</v>
      </c>
      <c r="Q1717" s="8"/>
      <c r="R1717" s="2">
        <v>1</v>
      </c>
      <c r="S1717" s="9">
        <v>1600</v>
      </c>
      <c r="T1717" s="10">
        <f t="shared" ref="T1717:T1737" si="489">(S1717*50)/100*R1717</f>
        <v>800</v>
      </c>
      <c r="U1717" s="9"/>
      <c r="V1717" s="10">
        <f t="shared" ref="V1717:V1737" si="490">T1717-U1717</f>
        <v>800</v>
      </c>
      <c r="W1717" s="4" t="s">
        <v>122</v>
      </c>
      <c r="X1717" s="2"/>
      <c r="Y1717" s="11">
        <v>3</v>
      </c>
      <c r="Z1717" s="12">
        <f t="shared" ref="Z1717:Z1737" si="491">F1717-E1717</f>
        <v>7</v>
      </c>
      <c r="AA1717" s="4" t="s">
        <v>27</v>
      </c>
      <c r="AC1717" s="176">
        <f t="shared" si="485"/>
        <v>0</v>
      </c>
    </row>
    <row r="1718" spans="2:29">
      <c r="B1718" s="183">
        <f t="shared" si="457"/>
        <v>50</v>
      </c>
      <c r="C1718" s="107" t="str">
        <f t="shared" si="458"/>
        <v>ATK</v>
      </c>
      <c r="D1718" s="2" t="s">
        <v>5398</v>
      </c>
      <c r="E1718" s="3">
        <v>44168</v>
      </c>
      <c r="F1718" s="3">
        <v>44173</v>
      </c>
      <c r="G1718" s="108">
        <f t="shared" si="459"/>
        <v>12</v>
      </c>
      <c r="H1718" s="108" t="str">
        <f t="shared" si="460"/>
        <v>수리불가</v>
      </c>
      <c r="I1718" s="112" t="s">
        <v>601</v>
      </c>
      <c r="J1718" s="4" t="s">
        <v>173</v>
      </c>
      <c r="K1718" s="5" t="s">
        <v>128</v>
      </c>
      <c r="L1718" s="6" t="str">
        <f t="shared" si="479"/>
        <v>1T1</v>
      </c>
      <c r="M1718" s="13" t="s">
        <v>5402</v>
      </c>
      <c r="N1718" s="7" t="s">
        <v>5399</v>
      </c>
      <c r="O1718" s="13" t="s">
        <v>5400</v>
      </c>
      <c r="P1718" s="115" t="s">
        <v>5401</v>
      </c>
      <c r="Q1718" s="8"/>
      <c r="R1718" s="2">
        <v>1</v>
      </c>
      <c r="S1718" s="9">
        <v>2000</v>
      </c>
      <c r="T1718" s="10">
        <f t="shared" si="489"/>
        <v>1000</v>
      </c>
      <c r="U1718" s="9">
        <v>0</v>
      </c>
      <c r="V1718" s="10">
        <f t="shared" si="490"/>
        <v>1000</v>
      </c>
      <c r="W1718" s="4" t="s">
        <v>122</v>
      </c>
      <c r="X1718" s="2"/>
      <c r="Y1718" s="11">
        <v>5</v>
      </c>
      <c r="Z1718" s="12">
        <f t="shared" si="491"/>
        <v>5</v>
      </c>
      <c r="AA1718" s="4" t="s">
        <v>212</v>
      </c>
      <c r="AC1718" s="176">
        <f t="shared" si="485"/>
        <v>0</v>
      </c>
    </row>
    <row r="1719" spans="2:29">
      <c r="B1719" s="183">
        <f t="shared" si="457"/>
        <v>49</v>
      </c>
      <c r="C1719" s="107" t="str">
        <f t="shared" si="458"/>
        <v>ATK</v>
      </c>
      <c r="D1719" s="2" t="s">
        <v>724</v>
      </c>
      <c r="E1719" s="3">
        <v>44169</v>
      </c>
      <c r="F1719" s="3">
        <v>44169</v>
      </c>
      <c r="G1719" s="108">
        <f t="shared" si="459"/>
        <v>12</v>
      </c>
      <c r="H1719" s="108" t="str">
        <f t="shared" si="460"/>
        <v>완료</v>
      </c>
      <c r="I1719" s="112" t="s">
        <v>218</v>
      </c>
      <c r="J1719" s="4" t="s">
        <v>121</v>
      </c>
      <c r="K1719" s="5" t="s">
        <v>136</v>
      </c>
      <c r="L1719" s="6" t="str">
        <f t="shared" si="479"/>
        <v>5T1</v>
      </c>
      <c r="M1719" s="13" t="s">
        <v>216</v>
      </c>
      <c r="N1719" s="7" t="s">
        <v>5403</v>
      </c>
      <c r="O1719" s="13" t="s">
        <v>3995</v>
      </c>
      <c r="P1719" s="115" t="s">
        <v>5404</v>
      </c>
      <c r="Q1719" s="8"/>
      <c r="R1719" s="2">
        <v>1</v>
      </c>
      <c r="S1719" s="9">
        <v>1200</v>
      </c>
      <c r="T1719" s="10">
        <f t="shared" si="489"/>
        <v>600</v>
      </c>
      <c r="U1719" s="9">
        <v>15</v>
      </c>
      <c r="V1719" s="10">
        <f t="shared" si="490"/>
        <v>585</v>
      </c>
      <c r="W1719" s="4" t="s">
        <v>122</v>
      </c>
      <c r="X1719" s="2"/>
      <c r="Y1719" s="11">
        <v>2</v>
      </c>
      <c r="Z1719" s="12">
        <f t="shared" si="491"/>
        <v>0</v>
      </c>
      <c r="AA1719" s="4" t="s">
        <v>27</v>
      </c>
      <c r="AC1719" s="176">
        <f t="shared" si="485"/>
        <v>1.3636363636363636E-2</v>
      </c>
    </row>
    <row r="1720" spans="2:29">
      <c r="B1720" s="183">
        <f t="shared" si="457"/>
        <v>50</v>
      </c>
      <c r="C1720" s="107" t="str">
        <f t="shared" si="458"/>
        <v>ATK</v>
      </c>
      <c r="D1720" s="2" t="s">
        <v>5352</v>
      </c>
      <c r="E1720" s="3">
        <v>44169</v>
      </c>
      <c r="F1720" s="3">
        <v>44175</v>
      </c>
      <c r="G1720" s="108">
        <f t="shared" si="459"/>
        <v>12</v>
      </c>
      <c r="H1720" s="108" t="str">
        <f t="shared" si="460"/>
        <v>완료</v>
      </c>
      <c r="I1720" s="112" t="s">
        <v>218</v>
      </c>
      <c r="J1720" s="4" t="s">
        <v>748</v>
      </c>
      <c r="K1720" s="5" t="s">
        <v>177</v>
      </c>
      <c r="L1720" s="6" t="str">
        <f t="shared" ref="L1720:L1738" si="492">LEFT(K1720,3)</f>
        <v>Bum</v>
      </c>
      <c r="M1720" s="13" t="s">
        <v>3970</v>
      </c>
      <c r="N1720" s="7" t="s">
        <v>5405</v>
      </c>
      <c r="O1720" s="13" t="s">
        <v>5406</v>
      </c>
      <c r="P1720" s="115" t="s">
        <v>5407</v>
      </c>
      <c r="Q1720" s="8"/>
      <c r="R1720" s="2">
        <v>1</v>
      </c>
      <c r="S1720" s="9">
        <v>17000</v>
      </c>
      <c r="T1720" s="10">
        <f t="shared" si="489"/>
        <v>8500</v>
      </c>
      <c r="U1720" s="9">
        <v>4</v>
      </c>
      <c r="V1720" s="10">
        <f t="shared" si="490"/>
        <v>8496</v>
      </c>
      <c r="W1720" s="4" t="s">
        <v>122</v>
      </c>
      <c r="X1720" s="2"/>
      <c r="Y1720" s="11">
        <v>7</v>
      </c>
      <c r="Z1720" s="12">
        <f t="shared" si="491"/>
        <v>6</v>
      </c>
      <c r="AA1720" s="4" t="s">
        <v>117</v>
      </c>
      <c r="AC1720" s="176">
        <f t="shared" si="485"/>
        <v>3.6363636363636364E-3</v>
      </c>
    </row>
    <row r="1721" spans="2:29">
      <c r="B1721" s="183">
        <f t="shared" si="457"/>
        <v>49</v>
      </c>
      <c r="C1721" s="107" t="str">
        <f t="shared" si="458"/>
        <v>ATK</v>
      </c>
      <c r="D1721" s="2" t="s">
        <v>4943</v>
      </c>
      <c r="E1721" s="3">
        <v>44169</v>
      </c>
      <c r="F1721" s="3">
        <v>44169</v>
      </c>
      <c r="G1721" s="108">
        <f t="shared" si="459"/>
        <v>12</v>
      </c>
      <c r="H1721" s="108" t="str">
        <f t="shared" si="460"/>
        <v>완료</v>
      </c>
      <c r="I1721" s="112" t="s">
        <v>218</v>
      </c>
      <c r="J1721" s="4" t="s">
        <v>251</v>
      </c>
      <c r="K1721" s="4" t="s">
        <v>251</v>
      </c>
      <c r="L1721" s="6" t="str">
        <f t="shared" si="492"/>
        <v>Oth</v>
      </c>
      <c r="M1721" s="13" t="s">
        <v>5408</v>
      </c>
      <c r="N1721" s="7" t="s">
        <v>4946</v>
      </c>
      <c r="O1721" s="13" t="s">
        <v>4945</v>
      </c>
      <c r="P1721" s="115" t="s">
        <v>5409</v>
      </c>
      <c r="Q1721" s="8"/>
      <c r="R1721" s="2">
        <v>1</v>
      </c>
      <c r="S1721" s="9">
        <v>2000</v>
      </c>
      <c r="T1721" s="10">
        <f t="shared" si="489"/>
        <v>1000</v>
      </c>
      <c r="U1721" s="9">
        <v>12</v>
      </c>
      <c r="V1721" s="10">
        <f t="shared" si="490"/>
        <v>988</v>
      </c>
      <c r="W1721" s="4" t="s">
        <v>122</v>
      </c>
      <c r="X1721" s="2"/>
      <c r="Y1721" s="11">
        <v>2</v>
      </c>
      <c r="Z1721" s="12">
        <f t="shared" si="491"/>
        <v>0</v>
      </c>
      <c r="AA1721" s="4" t="s">
        <v>27</v>
      </c>
      <c r="AC1721" s="176">
        <f t="shared" si="485"/>
        <v>1.090909090909091E-2</v>
      </c>
    </row>
    <row r="1722" spans="2:29">
      <c r="B1722" s="183">
        <f t="shared" si="457"/>
        <v>49</v>
      </c>
      <c r="C1722" s="107" t="str">
        <f t="shared" si="458"/>
        <v>ATK</v>
      </c>
      <c r="D1722" s="2" t="s">
        <v>5410</v>
      </c>
      <c r="E1722" s="3">
        <v>44169</v>
      </c>
      <c r="F1722" s="3">
        <v>44169</v>
      </c>
      <c r="G1722" s="108">
        <f t="shared" si="459"/>
        <v>12</v>
      </c>
      <c r="H1722" s="108" t="str">
        <f t="shared" si="460"/>
        <v>완료</v>
      </c>
      <c r="I1722" s="112" t="s">
        <v>218</v>
      </c>
      <c r="J1722" s="4" t="s">
        <v>118</v>
      </c>
      <c r="K1722" s="5" t="s">
        <v>137</v>
      </c>
      <c r="L1722" s="6" t="str">
        <f t="shared" si="492"/>
        <v>2T2</v>
      </c>
      <c r="M1722" s="13" t="s">
        <v>705</v>
      </c>
      <c r="N1722" s="7" t="s">
        <v>5411</v>
      </c>
      <c r="O1722" s="13" t="s">
        <v>225</v>
      </c>
      <c r="P1722" s="115" t="s">
        <v>4554</v>
      </c>
      <c r="Q1722" s="8"/>
      <c r="R1722" s="2">
        <v>1</v>
      </c>
      <c r="S1722" s="9">
        <v>2700</v>
      </c>
      <c r="T1722" s="10">
        <f t="shared" si="489"/>
        <v>1350</v>
      </c>
      <c r="U1722" s="9">
        <v>0</v>
      </c>
      <c r="V1722" s="10">
        <f t="shared" si="490"/>
        <v>1350</v>
      </c>
      <c r="W1722" s="4" t="s">
        <v>122</v>
      </c>
      <c r="X1722" s="2"/>
      <c r="Y1722" s="11">
        <v>3</v>
      </c>
      <c r="Z1722" s="12">
        <f t="shared" si="491"/>
        <v>0</v>
      </c>
      <c r="AA1722" s="4" t="s">
        <v>117</v>
      </c>
      <c r="AC1722" s="176">
        <f t="shared" si="485"/>
        <v>0</v>
      </c>
    </row>
    <row r="1723" spans="2:29">
      <c r="B1723" s="183">
        <f t="shared" ref="B1723:B1781" si="493">IF(F1723&gt;0,IFERROR(WEEKNUM(F1723),""),"")</f>
        <v>50</v>
      </c>
      <c r="C1723" s="107" t="str">
        <f t="shared" ref="C1723:C1781" si="494">IF(D1723=0,"",(IF(LEFT(D1723,3)="ATK","ATK",IF(LEFT(D1723,2)="AT",D1723,"ATK"))))</f>
        <v>ATK</v>
      </c>
      <c r="D1723" s="2" t="s">
        <v>3293</v>
      </c>
      <c r="E1723" s="3">
        <v>44172</v>
      </c>
      <c r="F1723" s="3">
        <v>44172</v>
      </c>
      <c r="G1723" s="108">
        <f t="shared" ref="G1723:G1781" si="495">IF(F1723&gt;0,MONTH(F1723),"")</f>
        <v>12</v>
      </c>
      <c r="H1723" s="108" t="str">
        <f t="shared" ref="H1723:H1781" si="496">IF(I1723=0,"",IF(RIGHT(I1723,2)="완료","완료",IF(RIGHT(I1723,2)="불가","수리불가",IF(RIGHT(I1723,1)="중","수리중","Other"))))</f>
        <v>Other</v>
      </c>
      <c r="I1723" s="112" t="s">
        <v>31</v>
      </c>
      <c r="J1723" s="4" t="s">
        <v>31</v>
      </c>
      <c r="K1723" s="5" t="s">
        <v>31</v>
      </c>
      <c r="L1723" s="6" t="str">
        <f t="shared" si="492"/>
        <v>Oth</v>
      </c>
      <c r="M1723" s="13" t="s">
        <v>3293</v>
      </c>
      <c r="N1723" s="7" t="s">
        <v>5191</v>
      </c>
      <c r="O1723" s="13" t="s">
        <v>226</v>
      </c>
      <c r="P1723" s="115" t="s">
        <v>5412</v>
      </c>
      <c r="Q1723" s="8"/>
      <c r="R1723" s="2">
        <v>1</v>
      </c>
      <c r="S1723" s="9">
        <v>0</v>
      </c>
      <c r="T1723" s="10">
        <f t="shared" si="489"/>
        <v>0</v>
      </c>
      <c r="U1723" s="9">
        <v>0</v>
      </c>
      <c r="V1723" s="10">
        <f t="shared" si="490"/>
        <v>0</v>
      </c>
      <c r="W1723" s="4" t="s">
        <v>249</v>
      </c>
      <c r="X1723" s="2"/>
      <c r="Y1723" s="11">
        <v>1</v>
      </c>
      <c r="Z1723" s="12">
        <f t="shared" si="491"/>
        <v>0</v>
      </c>
      <c r="AA1723" s="4" t="s">
        <v>174</v>
      </c>
      <c r="AC1723" s="176">
        <f t="shared" si="485"/>
        <v>0</v>
      </c>
    </row>
    <row r="1724" spans="2:29">
      <c r="B1724" s="183">
        <f t="shared" si="493"/>
        <v>50</v>
      </c>
      <c r="C1724" s="107" t="str">
        <f t="shared" si="494"/>
        <v>ATK</v>
      </c>
      <c r="D1724" s="2" t="s">
        <v>3293</v>
      </c>
      <c r="E1724" s="3">
        <v>44172</v>
      </c>
      <c r="F1724" s="3">
        <v>44172</v>
      </c>
      <c r="G1724" s="108">
        <f t="shared" si="495"/>
        <v>12</v>
      </c>
      <c r="H1724" s="108" t="str">
        <f t="shared" si="496"/>
        <v>Other</v>
      </c>
      <c r="I1724" s="112" t="s">
        <v>251</v>
      </c>
      <c r="J1724" s="4" t="s">
        <v>31</v>
      </c>
      <c r="K1724" s="5" t="s">
        <v>31</v>
      </c>
      <c r="L1724" s="6" t="str">
        <f t="shared" si="492"/>
        <v>Oth</v>
      </c>
      <c r="M1724" s="13" t="s">
        <v>3293</v>
      </c>
      <c r="N1724" s="7" t="s">
        <v>5191</v>
      </c>
      <c r="O1724" s="13" t="s">
        <v>226</v>
      </c>
      <c r="P1724" s="115" t="s">
        <v>5413</v>
      </c>
      <c r="Q1724" s="8"/>
      <c r="R1724" s="2">
        <v>1</v>
      </c>
      <c r="S1724" s="9">
        <v>0</v>
      </c>
      <c r="T1724" s="10">
        <f t="shared" si="489"/>
        <v>0</v>
      </c>
      <c r="U1724" s="9">
        <v>0</v>
      </c>
      <c r="V1724" s="10">
        <f t="shared" si="490"/>
        <v>0</v>
      </c>
      <c r="W1724" s="4" t="s">
        <v>249</v>
      </c>
      <c r="X1724" s="2"/>
      <c r="Y1724" s="11">
        <v>1</v>
      </c>
      <c r="Z1724" s="12">
        <f t="shared" si="491"/>
        <v>0</v>
      </c>
      <c r="AA1724" s="4" t="s">
        <v>30</v>
      </c>
      <c r="AC1724" s="176">
        <f t="shared" si="485"/>
        <v>0</v>
      </c>
    </row>
    <row r="1725" spans="2:29">
      <c r="B1725" s="183">
        <f t="shared" si="493"/>
        <v>50</v>
      </c>
      <c r="C1725" s="107" t="str">
        <f t="shared" si="494"/>
        <v>ATK</v>
      </c>
      <c r="D1725" s="2" t="s">
        <v>250</v>
      </c>
      <c r="E1725" s="3">
        <v>44172</v>
      </c>
      <c r="F1725" s="3">
        <v>44172</v>
      </c>
      <c r="G1725" s="108">
        <f t="shared" si="495"/>
        <v>12</v>
      </c>
      <c r="H1725" s="108" t="str">
        <f t="shared" si="496"/>
        <v>Other</v>
      </c>
      <c r="I1725" s="112" t="s">
        <v>251</v>
      </c>
      <c r="J1725" s="4" t="s">
        <v>251</v>
      </c>
      <c r="K1725" s="5" t="s">
        <v>251</v>
      </c>
      <c r="L1725" s="6" t="s">
        <v>5223</v>
      </c>
      <c r="M1725" s="13" t="s">
        <v>5224</v>
      </c>
      <c r="N1725" s="7" t="s">
        <v>5415</v>
      </c>
      <c r="O1725" s="13" t="s">
        <v>5414</v>
      </c>
      <c r="P1725" s="115" t="s">
        <v>5418</v>
      </c>
      <c r="Q1725" s="8"/>
      <c r="R1725" s="2">
        <v>1</v>
      </c>
      <c r="S1725" s="9">
        <v>0</v>
      </c>
      <c r="T1725" s="10">
        <v>0</v>
      </c>
      <c r="U1725" s="9">
        <v>0</v>
      </c>
      <c r="V1725" s="10">
        <v>0</v>
      </c>
      <c r="W1725" s="4" t="s">
        <v>122</v>
      </c>
      <c r="X1725" s="2"/>
      <c r="Y1725" s="11">
        <v>1</v>
      </c>
      <c r="Z1725" s="12">
        <v>0</v>
      </c>
      <c r="AA1725" s="4" t="s">
        <v>130</v>
      </c>
      <c r="AC1725" s="176">
        <f t="shared" si="485"/>
        <v>0</v>
      </c>
    </row>
    <row r="1726" spans="2:29">
      <c r="B1726" s="183">
        <f t="shared" si="493"/>
        <v>50</v>
      </c>
      <c r="C1726" s="107" t="str">
        <f t="shared" si="494"/>
        <v>ATK</v>
      </c>
      <c r="D1726" s="2" t="s">
        <v>250</v>
      </c>
      <c r="E1726" s="3">
        <v>44172</v>
      </c>
      <c r="F1726" s="3">
        <v>44172</v>
      </c>
      <c r="G1726" s="108">
        <f t="shared" si="495"/>
        <v>12</v>
      </c>
      <c r="H1726" s="108" t="str">
        <f t="shared" si="496"/>
        <v>Other</v>
      </c>
      <c r="I1726" s="112" t="s">
        <v>251</v>
      </c>
      <c r="J1726" s="4" t="s">
        <v>251</v>
      </c>
      <c r="K1726" s="5" t="s">
        <v>251</v>
      </c>
      <c r="L1726" s="6" t="s">
        <v>5223</v>
      </c>
      <c r="M1726" s="13" t="s">
        <v>5224</v>
      </c>
      <c r="N1726" s="7" t="s">
        <v>5416</v>
      </c>
      <c r="O1726" s="13" t="s">
        <v>5226</v>
      </c>
      <c r="P1726" s="115" t="s">
        <v>5417</v>
      </c>
      <c r="Q1726" s="8"/>
      <c r="R1726" s="2">
        <v>1</v>
      </c>
      <c r="S1726" s="9">
        <v>0</v>
      </c>
      <c r="T1726" s="10">
        <v>0</v>
      </c>
      <c r="U1726" s="9">
        <v>0</v>
      </c>
      <c r="V1726" s="10">
        <v>0</v>
      </c>
      <c r="W1726" s="4" t="s">
        <v>122</v>
      </c>
      <c r="X1726" s="2"/>
      <c r="Y1726" s="11">
        <v>1</v>
      </c>
      <c r="Z1726" s="12">
        <v>0</v>
      </c>
      <c r="AA1726" s="4" t="s">
        <v>174</v>
      </c>
      <c r="AC1726" s="176">
        <f t="shared" si="485"/>
        <v>0</v>
      </c>
    </row>
    <row r="1727" spans="2:29">
      <c r="B1727" s="183">
        <f t="shared" si="493"/>
        <v>50</v>
      </c>
      <c r="C1727" s="107" t="str">
        <f t="shared" si="494"/>
        <v>ATK</v>
      </c>
      <c r="D1727" s="2" t="s">
        <v>250</v>
      </c>
      <c r="E1727" s="3">
        <v>44172</v>
      </c>
      <c r="F1727" s="3">
        <v>44172</v>
      </c>
      <c r="G1727" s="108">
        <f t="shared" si="495"/>
        <v>12</v>
      </c>
      <c r="H1727" s="108" t="str">
        <f t="shared" si="496"/>
        <v>Other</v>
      </c>
      <c r="I1727" s="112" t="s">
        <v>251</v>
      </c>
      <c r="J1727" s="4" t="s">
        <v>251</v>
      </c>
      <c r="K1727" s="4" t="s">
        <v>251</v>
      </c>
      <c r="L1727" s="6" t="str">
        <f t="shared" ref="L1727:L1728" si="497">LEFT(K1727,3)</f>
        <v>Oth</v>
      </c>
      <c r="M1727" s="13" t="s">
        <v>5168</v>
      </c>
      <c r="N1727" s="7" t="s">
        <v>5002</v>
      </c>
      <c r="O1727" s="13" t="s">
        <v>5169</v>
      </c>
      <c r="P1727" s="115" t="s">
        <v>5419</v>
      </c>
      <c r="Q1727" s="8"/>
      <c r="R1727" s="2">
        <v>1</v>
      </c>
      <c r="S1727" s="9">
        <v>0</v>
      </c>
      <c r="T1727" s="10">
        <f t="shared" ref="T1727:T1728" si="498">(S1727*50)/100*R1727</f>
        <v>0</v>
      </c>
      <c r="U1727" s="9">
        <v>0</v>
      </c>
      <c r="V1727" s="10">
        <f t="shared" ref="V1727:V1728" si="499">T1727-U1727</f>
        <v>0</v>
      </c>
      <c r="W1727" s="4" t="s">
        <v>122</v>
      </c>
      <c r="X1727" s="2"/>
      <c r="Y1727" s="11">
        <v>2</v>
      </c>
      <c r="Z1727" s="12">
        <f t="shared" ref="Z1727:Z1728" si="500">F1727-E1727</f>
        <v>0</v>
      </c>
      <c r="AA1727" s="4" t="s">
        <v>174</v>
      </c>
      <c r="AC1727" s="176">
        <f t="shared" si="485"/>
        <v>0</v>
      </c>
    </row>
    <row r="1728" spans="2:29">
      <c r="B1728" s="183">
        <f t="shared" si="493"/>
        <v>50</v>
      </c>
      <c r="C1728" s="107" t="str">
        <f t="shared" si="494"/>
        <v>ATK</v>
      </c>
      <c r="D1728" s="2" t="s">
        <v>250</v>
      </c>
      <c r="E1728" s="3">
        <v>44172</v>
      </c>
      <c r="F1728" s="3">
        <v>44172</v>
      </c>
      <c r="G1728" s="108">
        <f t="shared" si="495"/>
        <v>12</v>
      </c>
      <c r="H1728" s="108" t="str">
        <f t="shared" si="496"/>
        <v>Other</v>
      </c>
      <c r="I1728" s="112" t="s">
        <v>251</v>
      </c>
      <c r="J1728" s="4" t="s">
        <v>251</v>
      </c>
      <c r="K1728" s="4" t="s">
        <v>251</v>
      </c>
      <c r="L1728" s="6" t="str">
        <f t="shared" si="497"/>
        <v>Oth</v>
      </c>
      <c r="M1728" s="13" t="s">
        <v>5168</v>
      </c>
      <c r="N1728" s="7" t="s">
        <v>5002</v>
      </c>
      <c r="O1728" s="13" t="s">
        <v>5169</v>
      </c>
      <c r="P1728" s="115" t="s">
        <v>5419</v>
      </c>
      <c r="Q1728" s="8"/>
      <c r="R1728" s="2">
        <v>1</v>
      </c>
      <c r="S1728" s="9">
        <v>0</v>
      </c>
      <c r="T1728" s="10">
        <f t="shared" si="498"/>
        <v>0</v>
      </c>
      <c r="U1728" s="9">
        <v>0</v>
      </c>
      <c r="V1728" s="10">
        <f t="shared" si="499"/>
        <v>0</v>
      </c>
      <c r="W1728" s="4" t="s">
        <v>122</v>
      </c>
      <c r="X1728" s="2"/>
      <c r="Y1728" s="11">
        <v>2</v>
      </c>
      <c r="Z1728" s="12">
        <f t="shared" si="500"/>
        <v>0</v>
      </c>
      <c r="AA1728" s="4" t="s">
        <v>174</v>
      </c>
      <c r="AC1728" s="176">
        <f t="shared" si="485"/>
        <v>0</v>
      </c>
    </row>
    <row r="1729" spans="2:29" ht="16.5" customHeight="1">
      <c r="B1729" s="183">
        <f t="shared" si="493"/>
        <v>50</v>
      </c>
      <c r="C1729" s="107" t="str">
        <f t="shared" si="494"/>
        <v>ATK</v>
      </c>
      <c r="D1729" s="2" t="s">
        <v>5423</v>
      </c>
      <c r="E1729" s="3">
        <v>44172</v>
      </c>
      <c r="F1729" s="3">
        <v>44172</v>
      </c>
      <c r="G1729" s="108">
        <f t="shared" si="495"/>
        <v>12</v>
      </c>
      <c r="H1729" s="108" t="str">
        <f t="shared" si="496"/>
        <v>완료</v>
      </c>
      <c r="I1729" s="112" t="s">
        <v>218</v>
      </c>
      <c r="J1729" s="4" t="s">
        <v>132</v>
      </c>
      <c r="K1729" s="5" t="s">
        <v>1193</v>
      </c>
      <c r="L1729" s="6" t="str">
        <f t="shared" si="492"/>
        <v>3T2</v>
      </c>
      <c r="M1729" s="13" t="s">
        <v>5420</v>
      </c>
      <c r="N1729" s="7" t="s">
        <v>5421</v>
      </c>
      <c r="O1729" s="13" t="s">
        <v>5422</v>
      </c>
      <c r="P1729" s="115" t="s">
        <v>5437</v>
      </c>
      <c r="Q1729" s="8"/>
      <c r="R1729" s="2">
        <v>1</v>
      </c>
      <c r="S1729" s="9">
        <v>1500</v>
      </c>
      <c r="T1729" s="10">
        <f t="shared" si="489"/>
        <v>750</v>
      </c>
      <c r="U1729" s="9">
        <v>60</v>
      </c>
      <c r="V1729" s="10">
        <f t="shared" si="490"/>
        <v>690</v>
      </c>
      <c r="W1729" s="4" t="s">
        <v>122</v>
      </c>
      <c r="X1729" s="2"/>
      <c r="Y1729" s="11">
        <v>7</v>
      </c>
      <c r="Z1729" s="12">
        <f t="shared" si="491"/>
        <v>0</v>
      </c>
      <c r="AA1729" s="4" t="s">
        <v>212</v>
      </c>
      <c r="AC1729" s="176">
        <f t="shared" si="485"/>
        <v>5.4545454545454543E-2</v>
      </c>
    </row>
    <row r="1730" spans="2:29">
      <c r="B1730" s="183">
        <f t="shared" si="493"/>
        <v>50</v>
      </c>
      <c r="C1730" s="107" t="str">
        <f t="shared" si="494"/>
        <v>ATK</v>
      </c>
      <c r="D1730" s="2" t="s">
        <v>5210</v>
      </c>
      <c r="E1730" s="3">
        <v>44172</v>
      </c>
      <c r="F1730" s="3">
        <v>44173</v>
      </c>
      <c r="G1730" s="108">
        <f t="shared" si="495"/>
        <v>12</v>
      </c>
      <c r="H1730" s="108" t="str">
        <f t="shared" si="496"/>
        <v>완료</v>
      </c>
      <c r="I1730" s="112" t="s">
        <v>264</v>
      </c>
      <c r="J1730" s="4" t="s">
        <v>121</v>
      </c>
      <c r="K1730" s="5" t="s">
        <v>136</v>
      </c>
      <c r="L1730" s="6" t="str">
        <f t="shared" si="492"/>
        <v>5T1</v>
      </c>
      <c r="M1730" s="13" t="s">
        <v>1133</v>
      </c>
      <c r="N1730" s="7" t="s">
        <v>5424</v>
      </c>
      <c r="O1730" s="13" t="s">
        <v>5425</v>
      </c>
      <c r="P1730" s="115" t="s">
        <v>5426</v>
      </c>
      <c r="Q1730" s="8"/>
      <c r="R1730" s="2">
        <v>1</v>
      </c>
      <c r="S1730" s="9">
        <v>1200</v>
      </c>
      <c r="T1730" s="10">
        <f t="shared" ref="T1730" si="501">(S1730*50)/100*R1730</f>
        <v>600</v>
      </c>
      <c r="U1730" s="9">
        <v>200</v>
      </c>
      <c r="V1730" s="10">
        <f t="shared" ref="V1730" si="502">T1730-U1730</f>
        <v>400</v>
      </c>
      <c r="W1730" s="4" t="s">
        <v>249</v>
      </c>
      <c r="X1730" s="2"/>
      <c r="Y1730" s="11">
        <v>1</v>
      </c>
      <c r="Z1730" s="12">
        <f t="shared" ref="Z1730" si="503">F1730-E1730</f>
        <v>1</v>
      </c>
      <c r="AA1730" s="4" t="s">
        <v>174</v>
      </c>
      <c r="AC1730" s="176">
        <f t="shared" si="485"/>
        <v>0.18181818181818182</v>
      </c>
    </row>
    <row r="1731" spans="2:29">
      <c r="B1731" s="183">
        <f t="shared" si="493"/>
        <v>50</v>
      </c>
      <c r="C1731" s="107" t="str">
        <f t="shared" si="494"/>
        <v>ATK</v>
      </c>
      <c r="D1731" s="2" t="s">
        <v>5427</v>
      </c>
      <c r="E1731" s="3">
        <v>44172</v>
      </c>
      <c r="F1731" s="3">
        <v>44173</v>
      </c>
      <c r="G1731" s="108">
        <f t="shared" si="495"/>
        <v>12</v>
      </c>
      <c r="H1731" s="108" t="str">
        <f t="shared" si="496"/>
        <v>완료</v>
      </c>
      <c r="I1731" s="112" t="s">
        <v>264</v>
      </c>
      <c r="J1731" s="4" t="s">
        <v>5428</v>
      </c>
      <c r="K1731" s="5" t="s">
        <v>5429</v>
      </c>
      <c r="L1731" s="6" t="str">
        <f t="shared" si="492"/>
        <v>1T3</v>
      </c>
      <c r="M1731" s="13" t="s">
        <v>5430</v>
      </c>
      <c r="N1731" s="7" t="s">
        <v>5431</v>
      </c>
      <c r="O1731" s="13" t="s">
        <v>5432</v>
      </c>
      <c r="P1731" s="115" t="s">
        <v>5433</v>
      </c>
      <c r="Q1731" s="8"/>
      <c r="R1731" s="2">
        <v>1</v>
      </c>
      <c r="S1731" s="9">
        <v>4500</v>
      </c>
      <c r="T1731" s="10">
        <f t="shared" si="489"/>
        <v>2250</v>
      </c>
      <c r="U1731" s="9">
        <v>15</v>
      </c>
      <c r="V1731" s="10">
        <f t="shared" si="490"/>
        <v>2235</v>
      </c>
      <c r="W1731" s="4" t="s">
        <v>5434</v>
      </c>
      <c r="X1731" s="2"/>
      <c r="Y1731" s="11">
        <v>4</v>
      </c>
      <c r="Z1731" s="12">
        <f t="shared" si="491"/>
        <v>1</v>
      </c>
      <c r="AA1731" s="4" t="s">
        <v>5435</v>
      </c>
      <c r="AC1731" s="176">
        <f t="shared" si="485"/>
        <v>1.3636363636363636E-2</v>
      </c>
    </row>
    <row r="1732" spans="2:29">
      <c r="B1732" s="183">
        <f t="shared" si="493"/>
        <v>51</v>
      </c>
      <c r="C1732" s="107" t="str">
        <f t="shared" si="494"/>
        <v>ATK</v>
      </c>
      <c r="D1732" s="2" t="s">
        <v>5468</v>
      </c>
      <c r="E1732" s="3">
        <v>44173</v>
      </c>
      <c r="F1732" s="3">
        <v>44179</v>
      </c>
      <c r="G1732" s="108">
        <f t="shared" si="495"/>
        <v>12</v>
      </c>
      <c r="H1732" s="108" t="str">
        <f t="shared" si="496"/>
        <v>완료</v>
      </c>
      <c r="I1732" s="112" t="s">
        <v>264</v>
      </c>
      <c r="J1732" s="4" t="s">
        <v>5469</v>
      </c>
      <c r="K1732" s="5" t="s">
        <v>5470</v>
      </c>
      <c r="L1732" s="6" t="str">
        <f t="shared" si="492"/>
        <v>2T3</v>
      </c>
      <c r="M1732" s="13" t="s">
        <v>270</v>
      </c>
      <c r="N1732" s="7" t="s">
        <v>5471</v>
      </c>
      <c r="O1732" s="13" t="s">
        <v>270</v>
      </c>
      <c r="P1732" s="115" t="s">
        <v>5519</v>
      </c>
      <c r="Q1732" s="8"/>
      <c r="R1732" s="2">
        <v>1</v>
      </c>
      <c r="S1732" s="9">
        <v>910</v>
      </c>
      <c r="T1732" s="10">
        <f t="shared" si="489"/>
        <v>455</v>
      </c>
      <c r="U1732" s="9">
        <v>50</v>
      </c>
      <c r="V1732" s="10">
        <f t="shared" si="490"/>
        <v>405</v>
      </c>
      <c r="W1732" s="4" t="s">
        <v>5459</v>
      </c>
      <c r="X1732" s="2"/>
      <c r="Y1732" s="11">
        <v>2</v>
      </c>
      <c r="Z1732" s="12">
        <f t="shared" si="491"/>
        <v>6</v>
      </c>
      <c r="AA1732" s="4" t="s">
        <v>5460</v>
      </c>
      <c r="AC1732" s="176">
        <f t="shared" si="485"/>
        <v>4.5454545454545456E-2</v>
      </c>
    </row>
    <row r="1733" spans="2:29">
      <c r="B1733" s="183">
        <f t="shared" si="493"/>
        <v>50</v>
      </c>
      <c r="C1733" s="107" t="str">
        <f t="shared" si="494"/>
        <v>ATK</v>
      </c>
      <c r="D1733" s="2" t="s">
        <v>463</v>
      </c>
      <c r="E1733" s="3">
        <v>44173</v>
      </c>
      <c r="F1733" s="3">
        <v>44173</v>
      </c>
      <c r="G1733" s="108">
        <f t="shared" si="495"/>
        <v>12</v>
      </c>
      <c r="H1733" s="108" t="str">
        <f t="shared" si="496"/>
        <v>완료</v>
      </c>
      <c r="I1733" s="112" t="s">
        <v>264</v>
      </c>
      <c r="J1733" s="4" t="s">
        <v>804</v>
      </c>
      <c r="K1733" s="5" t="s">
        <v>805</v>
      </c>
      <c r="L1733" s="6" t="str">
        <f t="shared" si="492"/>
        <v>5T1</v>
      </c>
      <c r="M1733" s="13" t="s">
        <v>730</v>
      </c>
      <c r="N1733" s="7" t="s">
        <v>193</v>
      </c>
      <c r="O1733" s="13" t="s">
        <v>4623</v>
      </c>
      <c r="P1733" s="115"/>
      <c r="Q1733" s="8"/>
      <c r="R1733" s="2">
        <v>1</v>
      </c>
      <c r="S1733" s="9">
        <v>500</v>
      </c>
      <c r="T1733" s="10">
        <f t="shared" si="489"/>
        <v>250</v>
      </c>
      <c r="U1733" s="9">
        <v>5</v>
      </c>
      <c r="V1733" s="10">
        <f t="shared" si="490"/>
        <v>245</v>
      </c>
      <c r="W1733" s="4" t="s">
        <v>249</v>
      </c>
      <c r="X1733" s="2"/>
      <c r="Y1733" s="11">
        <v>3</v>
      </c>
      <c r="Z1733" s="12">
        <f t="shared" si="491"/>
        <v>0</v>
      </c>
      <c r="AA1733" s="4" t="s">
        <v>27</v>
      </c>
      <c r="AC1733" s="176">
        <f t="shared" si="485"/>
        <v>4.5454545454545452E-3</v>
      </c>
    </row>
    <row r="1734" spans="2:29">
      <c r="B1734" s="183">
        <f t="shared" si="493"/>
        <v>50</v>
      </c>
      <c r="C1734" s="107" t="str">
        <f t="shared" si="494"/>
        <v>ATK</v>
      </c>
      <c r="D1734" s="2" t="s">
        <v>3293</v>
      </c>
      <c r="E1734" s="3">
        <v>44174</v>
      </c>
      <c r="F1734" s="3">
        <v>44174</v>
      </c>
      <c r="G1734" s="108">
        <f t="shared" si="495"/>
        <v>12</v>
      </c>
      <c r="H1734" s="108" t="str">
        <f t="shared" si="496"/>
        <v>Other</v>
      </c>
      <c r="I1734" s="112" t="s">
        <v>31</v>
      </c>
      <c r="J1734" s="4" t="s">
        <v>31</v>
      </c>
      <c r="K1734" s="5" t="s">
        <v>31</v>
      </c>
      <c r="L1734" s="6" t="str">
        <f t="shared" si="492"/>
        <v>Oth</v>
      </c>
      <c r="M1734" s="13" t="s">
        <v>3293</v>
      </c>
      <c r="N1734" s="7" t="s">
        <v>5191</v>
      </c>
      <c r="O1734" s="13" t="s">
        <v>226</v>
      </c>
      <c r="P1734" s="115" t="s">
        <v>5439</v>
      </c>
      <c r="Q1734" s="8"/>
      <c r="R1734" s="2">
        <v>1</v>
      </c>
      <c r="S1734" s="9">
        <v>0</v>
      </c>
      <c r="T1734" s="10">
        <f t="shared" si="489"/>
        <v>0</v>
      </c>
      <c r="U1734" s="9">
        <v>0</v>
      </c>
      <c r="V1734" s="10">
        <f t="shared" si="490"/>
        <v>0</v>
      </c>
      <c r="W1734" s="4" t="s">
        <v>249</v>
      </c>
      <c r="X1734" s="2"/>
      <c r="Y1734" s="11">
        <v>1</v>
      </c>
      <c r="Z1734" s="12">
        <f t="shared" si="491"/>
        <v>0</v>
      </c>
      <c r="AA1734" s="4" t="s">
        <v>174</v>
      </c>
      <c r="AC1734" s="176">
        <f t="shared" si="485"/>
        <v>0</v>
      </c>
    </row>
    <row r="1735" spans="2:29">
      <c r="B1735" s="183">
        <f t="shared" si="493"/>
        <v>50</v>
      </c>
      <c r="C1735" s="107" t="str">
        <f t="shared" si="494"/>
        <v>ATK</v>
      </c>
      <c r="D1735" s="2" t="s">
        <v>3293</v>
      </c>
      <c r="E1735" s="3">
        <v>44174</v>
      </c>
      <c r="F1735" s="3">
        <v>44174</v>
      </c>
      <c r="G1735" s="108">
        <f t="shared" si="495"/>
        <v>12</v>
      </c>
      <c r="H1735" s="108" t="str">
        <f t="shared" si="496"/>
        <v>Other</v>
      </c>
      <c r="I1735" s="112" t="s">
        <v>251</v>
      </c>
      <c r="J1735" s="4" t="s">
        <v>31</v>
      </c>
      <c r="K1735" s="5" t="s">
        <v>31</v>
      </c>
      <c r="L1735" s="6" t="str">
        <f t="shared" si="492"/>
        <v>Oth</v>
      </c>
      <c r="M1735" s="13" t="s">
        <v>3293</v>
      </c>
      <c r="N1735" s="7" t="s">
        <v>5191</v>
      </c>
      <c r="O1735" s="13" t="s">
        <v>226</v>
      </c>
      <c r="P1735" s="115" t="s">
        <v>5439</v>
      </c>
      <c r="Q1735" s="8"/>
      <c r="R1735" s="2">
        <v>1</v>
      </c>
      <c r="S1735" s="9">
        <v>0</v>
      </c>
      <c r="T1735" s="10">
        <f t="shared" si="489"/>
        <v>0</v>
      </c>
      <c r="U1735" s="9">
        <v>0</v>
      </c>
      <c r="V1735" s="10">
        <f t="shared" si="490"/>
        <v>0</v>
      </c>
      <c r="W1735" s="4" t="s">
        <v>249</v>
      </c>
      <c r="X1735" s="2"/>
      <c r="Y1735" s="11">
        <v>1</v>
      </c>
      <c r="Z1735" s="12">
        <f t="shared" si="491"/>
        <v>0</v>
      </c>
      <c r="AA1735" s="4" t="s">
        <v>30</v>
      </c>
      <c r="AC1735" s="176">
        <f t="shared" si="485"/>
        <v>0</v>
      </c>
    </row>
    <row r="1736" spans="2:29">
      <c r="B1736" s="183">
        <f t="shared" si="493"/>
        <v>50</v>
      </c>
      <c r="C1736" s="107" t="str">
        <f t="shared" si="494"/>
        <v>ATK</v>
      </c>
      <c r="D1736" s="2" t="s">
        <v>5440</v>
      </c>
      <c r="E1736" s="3">
        <v>44174</v>
      </c>
      <c r="F1736" s="3">
        <v>44174</v>
      </c>
      <c r="G1736" s="108">
        <f t="shared" si="495"/>
        <v>12</v>
      </c>
      <c r="H1736" s="108" t="str">
        <f t="shared" si="496"/>
        <v>완료</v>
      </c>
      <c r="I1736" s="112" t="s">
        <v>218</v>
      </c>
      <c r="J1736" s="4" t="s">
        <v>121</v>
      </c>
      <c r="K1736" s="5" t="s">
        <v>136</v>
      </c>
      <c r="L1736" s="6" t="str">
        <f t="shared" si="492"/>
        <v>5T1</v>
      </c>
      <c r="M1736" s="13" t="s">
        <v>5445</v>
      </c>
      <c r="N1736" s="7" t="s">
        <v>5443</v>
      </c>
      <c r="O1736" s="13" t="s">
        <v>5441</v>
      </c>
      <c r="P1736" s="115" t="s">
        <v>5442</v>
      </c>
      <c r="Q1736" s="8"/>
      <c r="R1736" s="2">
        <v>1</v>
      </c>
      <c r="S1736" s="9">
        <v>1500</v>
      </c>
      <c r="T1736" s="10">
        <f t="shared" si="489"/>
        <v>750</v>
      </c>
      <c r="U1736" s="9">
        <v>30</v>
      </c>
      <c r="V1736" s="10">
        <f t="shared" si="490"/>
        <v>720</v>
      </c>
      <c r="W1736" s="4" t="s">
        <v>122</v>
      </c>
      <c r="X1736" s="2"/>
      <c r="Y1736" s="11">
        <v>5</v>
      </c>
      <c r="Z1736" s="12">
        <f t="shared" si="491"/>
        <v>0</v>
      </c>
      <c r="AA1736" s="4" t="s">
        <v>212</v>
      </c>
      <c r="AC1736" s="176">
        <f t="shared" si="485"/>
        <v>2.7272727272727271E-2</v>
      </c>
    </row>
    <row r="1737" spans="2:29">
      <c r="B1737" s="183">
        <f t="shared" si="493"/>
        <v>50</v>
      </c>
      <c r="C1737" s="107" t="str">
        <f t="shared" si="494"/>
        <v>ATK</v>
      </c>
      <c r="D1737" s="2" t="s">
        <v>5444</v>
      </c>
      <c r="E1737" s="3">
        <v>44174</v>
      </c>
      <c r="F1737" s="3">
        <v>44174</v>
      </c>
      <c r="G1737" s="108">
        <f t="shared" si="495"/>
        <v>12</v>
      </c>
      <c r="H1737" s="108" t="str">
        <f t="shared" si="496"/>
        <v>완료</v>
      </c>
      <c r="I1737" s="112" t="s">
        <v>218</v>
      </c>
      <c r="J1737" s="4" t="s">
        <v>121</v>
      </c>
      <c r="K1737" s="5" t="s">
        <v>229</v>
      </c>
      <c r="L1737" s="6" t="str">
        <f t="shared" si="492"/>
        <v>5T2</v>
      </c>
      <c r="M1737" s="13" t="s">
        <v>5445</v>
      </c>
      <c r="N1737" s="7" t="s">
        <v>5447</v>
      </c>
      <c r="O1737" s="13" t="s">
        <v>5446</v>
      </c>
      <c r="P1737" s="115"/>
      <c r="Q1737" s="8"/>
      <c r="R1737" s="2">
        <v>1</v>
      </c>
      <c r="S1737" s="9">
        <v>7000</v>
      </c>
      <c r="T1737" s="10">
        <f t="shared" si="489"/>
        <v>3500</v>
      </c>
      <c r="U1737" s="9">
        <v>8</v>
      </c>
      <c r="V1737" s="10">
        <f t="shared" si="490"/>
        <v>3492</v>
      </c>
      <c r="W1737" s="4" t="s">
        <v>122</v>
      </c>
      <c r="X1737" s="2"/>
      <c r="Y1737" s="11">
        <v>3</v>
      </c>
      <c r="Z1737" s="12">
        <f t="shared" si="491"/>
        <v>0</v>
      </c>
      <c r="AA1737" s="4" t="s">
        <v>117</v>
      </c>
      <c r="AC1737" s="176">
        <f t="shared" si="485"/>
        <v>7.2727272727272727E-3</v>
      </c>
    </row>
    <row r="1738" spans="2:29">
      <c r="B1738" s="183">
        <f t="shared" si="493"/>
        <v>50</v>
      </c>
      <c r="C1738" s="107" t="str">
        <f t="shared" si="494"/>
        <v>ATK</v>
      </c>
      <c r="D1738" s="2" t="s">
        <v>335</v>
      </c>
      <c r="E1738" s="3">
        <v>44174</v>
      </c>
      <c r="F1738" s="3">
        <v>44174</v>
      </c>
      <c r="G1738" s="108">
        <f t="shared" si="495"/>
        <v>12</v>
      </c>
      <c r="H1738" s="108" t="str">
        <f t="shared" si="496"/>
        <v>완료</v>
      </c>
      <c r="I1738" s="112" t="s">
        <v>218</v>
      </c>
      <c r="J1738" s="4" t="s">
        <v>121</v>
      </c>
      <c r="K1738" s="5" t="s">
        <v>136</v>
      </c>
      <c r="L1738" s="6" t="str">
        <f t="shared" si="492"/>
        <v>5T1</v>
      </c>
      <c r="M1738" s="13" t="s">
        <v>216</v>
      </c>
      <c r="N1738" s="7" t="s">
        <v>5403</v>
      </c>
      <c r="O1738" s="13" t="s">
        <v>3995</v>
      </c>
      <c r="P1738" s="115" t="s">
        <v>5404</v>
      </c>
      <c r="Q1738" s="8"/>
      <c r="R1738" s="2">
        <v>1</v>
      </c>
      <c r="S1738" s="9">
        <v>1200</v>
      </c>
      <c r="T1738" s="10">
        <f t="shared" ref="T1738" si="504">(S1738*50)/100*R1738</f>
        <v>600</v>
      </c>
      <c r="U1738" s="9">
        <v>15</v>
      </c>
      <c r="V1738" s="10">
        <f t="shared" ref="V1738" si="505">T1738-U1738</f>
        <v>585</v>
      </c>
      <c r="W1738" s="4" t="s">
        <v>122</v>
      </c>
      <c r="X1738" s="2"/>
      <c r="Y1738" s="11">
        <v>2</v>
      </c>
      <c r="Z1738" s="12">
        <f t="shared" ref="Z1738" si="506">F1738-E1738</f>
        <v>0</v>
      </c>
      <c r="AA1738" s="4" t="s">
        <v>117</v>
      </c>
    </row>
    <row r="1739" spans="2:29">
      <c r="B1739" s="183">
        <f t="shared" si="493"/>
        <v>50</v>
      </c>
      <c r="C1739" s="107" t="str">
        <f t="shared" si="494"/>
        <v>ATK</v>
      </c>
      <c r="D1739" s="2" t="s">
        <v>1809</v>
      </c>
      <c r="E1739" s="3">
        <v>44174</v>
      </c>
      <c r="F1739" s="3">
        <v>44174</v>
      </c>
      <c r="G1739" s="108">
        <f t="shared" si="495"/>
        <v>12</v>
      </c>
      <c r="H1739" s="108" t="str">
        <f t="shared" si="496"/>
        <v>완료</v>
      </c>
      <c r="I1739" s="112" t="s">
        <v>218</v>
      </c>
      <c r="J1739" s="4" t="s">
        <v>121</v>
      </c>
      <c r="K1739" s="5" t="s">
        <v>229</v>
      </c>
      <c r="L1739" s="6" t="str">
        <f t="shared" ref="L1739:L1793" si="507">LEFT(K1739,3)</f>
        <v>5T2</v>
      </c>
      <c r="M1739" s="13" t="s">
        <v>242</v>
      </c>
      <c r="N1739" s="7" t="s">
        <v>5448</v>
      </c>
      <c r="O1739" s="13" t="s">
        <v>5449</v>
      </c>
      <c r="P1739" s="115"/>
      <c r="Q1739" s="8"/>
      <c r="R1739" s="2">
        <v>2</v>
      </c>
      <c r="S1739" s="9">
        <v>2300</v>
      </c>
      <c r="T1739" s="10">
        <f t="shared" ref="T1739:T1794" si="508">(S1739*50)/100*R1739</f>
        <v>2300</v>
      </c>
      <c r="U1739" s="9">
        <v>30</v>
      </c>
      <c r="V1739" s="10">
        <f t="shared" ref="V1739:V1793" si="509">T1739-U1739</f>
        <v>2270</v>
      </c>
      <c r="W1739" s="4" t="s">
        <v>122</v>
      </c>
      <c r="X1739" s="2"/>
      <c r="Y1739" s="11">
        <v>2</v>
      </c>
      <c r="Z1739" s="12">
        <f t="shared" ref="Z1739:Z1793" si="510">F1739-E1739</f>
        <v>0</v>
      </c>
      <c r="AA1739" s="4" t="s">
        <v>117</v>
      </c>
    </row>
    <row r="1740" spans="2:29">
      <c r="B1740" s="183">
        <f t="shared" si="493"/>
        <v>51</v>
      </c>
      <c r="C1740" s="107" t="str">
        <f t="shared" si="494"/>
        <v>ATK</v>
      </c>
      <c r="D1740" s="2" t="s">
        <v>5503</v>
      </c>
      <c r="E1740" s="3">
        <v>44174</v>
      </c>
      <c r="F1740" s="3">
        <v>44181</v>
      </c>
      <c r="G1740" s="108">
        <f t="shared" si="495"/>
        <v>12</v>
      </c>
      <c r="H1740" s="108" t="str">
        <f t="shared" si="496"/>
        <v>완료</v>
      </c>
      <c r="I1740" s="112" t="s">
        <v>514</v>
      </c>
      <c r="J1740" s="4" t="s">
        <v>5504</v>
      </c>
      <c r="K1740" s="5" t="s">
        <v>5505</v>
      </c>
      <c r="L1740" s="6" t="str">
        <f t="shared" si="507"/>
        <v>EE1</v>
      </c>
      <c r="M1740" s="13" t="s">
        <v>5506</v>
      </c>
      <c r="N1740" s="7" t="s">
        <v>5507</v>
      </c>
      <c r="O1740" s="13" t="s">
        <v>5508</v>
      </c>
      <c r="P1740" s="115" t="s">
        <v>5509</v>
      </c>
      <c r="Q1740" s="8"/>
      <c r="R1740" s="2">
        <v>1</v>
      </c>
      <c r="S1740" s="9">
        <v>650</v>
      </c>
      <c r="T1740" s="10">
        <f t="shared" si="508"/>
        <v>325</v>
      </c>
      <c r="U1740" s="9">
        <v>60</v>
      </c>
      <c r="V1740" s="10">
        <f t="shared" si="509"/>
        <v>265</v>
      </c>
      <c r="W1740" s="4" t="s">
        <v>5510</v>
      </c>
      <c r="X1740" s="2" t="s">
        <v>178</v>
      </c>
      <c r="Y1740" s="11">
        <v>1</v>
      </c>
      <c r="Z1740" s="12">
        <f t="shared" si="510"/>
        <v>7</v>
      </c>
      <c r="AA1740" s="4" t="s">
        <v>5511</v>
      </c>
      <c r="AB1740" s="201" t="s">
        <v>3434</v>
      </c>
    </row>
    <row r="1741" spans="2:29">
      <c r="B1741" s="183">
        <f t="shared" si="493"/>
        <v>50</v>
      </c>
      <c r="C1741" s="107" t="str">
        <f t="shared" si="494"/>
        <v>ATK</v>
      </c>
      <c r="D1741" s="2" t="s">
        <v>837</v>
      </c>
      <c r="E1741" s="3">
        <v>44174</v>
      </c>
      <c r="F1741" s="3">
        <v>44174</v>
      </c>
      <c r="G1741" s="108">
        <f t="shared" si="495"/>
        <v>12</v>
      </c>
      <c r="H1741" s="108" t="str">
        <f t="shared" si="496"/>
        <v>완료</v>
      </c>
      <c r="I1741" s="112" t="s">
        <v>218</v>
      </c>
      <c r="J1741" s="4" t="s">
        <v>115</v>
      </c>
      <c r="K1741" s="5" t="s">
        <v>116</v>
      </c>
      <c r="L1741" s="6" t="str">
        <f t="shared" si="507"/>
        <v>EE2</v>
      </c>
      <c r="M1741" s="13" t="s">
        <v>256</v>
      </c>
      <c r="N1741" s="7" t="s">
        <v>5438</v>
      </c>
      <c r="O1741" s="13" t="s">
        <v>4408</v>
      </c>
      <c r="P1741" s="115" t="s">
        <v>5450</v>
      </c>
      <c r="Q1741" s="8" t="s">
        <v>5451</v>
      </c>
      <c r="R1741" s="2">
        <v>1</v>
      </c>
      <c r="S1741" s="9">
        <v>3500</v>
      </c>
      <c r="T1741" s="10">
        <f t="shared" si="508"/>
        <v>1750</v>
      </c>
      <c r="U1741" s="9">
        <v>100</v>
      </c>
      <c r="V1741" s="10">
        <f t="shared" si="509"/>
        <v>1650</v>
      </c>
      <c r="W1741" s="4" t="s">
        <v>122</v>
      </c>
      <c r="X1741" s="2"/>
      <c r="Y1741" s="11">
        <v>3</v>
      </c>
      <c r="Z1741" s="12">
        <f t="shared" si="510"/>
        <v>0</v>
      </c>
      <c r="AA1741" s="4" t="s">
        <v>212</v>
      </c>
    </row>
    <row r="1742" spans="2:29">
      <c r="B1742" s="183">
        <f t="shared" si="493"/>
        <v>50</v>
      </c>
      <c r="C1742" s="107" t="str">
        <f t="shared" si="494"/>
        <v>ATK</v>
      </c>
      <c r="D1742" s="2" t="s">
        <v>1809</v>
      </c>
      <c r="E1742" s="3">
        <v>44174</v>
      </c>
      <c r="F1742" s="3">
        <v>44174</v>
      </c>
      <c r="G1742" s="108">
        <f t="shared" si="495"/>
        <v>12</v>
      </c>
      <c r="H1742" s="108" t="str">
        <f t="shared" si="496"/>
        <v>Other</v>
      </c>
      <c r="I1742" s="112" t="s">
        <v>317</v>
      </c>
      <c r="J1742" s="4" t="s">
        <v>121</v>
      </c>
      <c r="K1742" s="5" t="s">
        <v>229</v>
      </c>
      <c r="L1742" s="6" t="str">
        <f t="shared" ref="L1742:L1745" si="511">LEFT(K1742,3)</f>
        <v>5T2</v>
      </c>
      <c r="M1742" s="13" t="s">
        <v>242</v>
      </c>
      <c r="N1742" s="7" t="s">
        <v>5448</v>
      </c>
      <c r="O1742" s="13" t="s">
        <v>5449</v>
      </c>
      <c r="P1742" s="115"/>
      <c r="Q1742" s="8"/>
      <c r="R1742" s="2">
        <v>1</v>
      </c>
      <c r="S1742" s="9">
        <v>2300</v>
      </c>
      <c r="T1742" s="10">
        <f t="shared" ref="T1742:T1744" si="512">(S1742*50)/100*R1742</f>
        <v>1150</v>
      </c>
      <c r="U1742" s="9">
        <v>0</v>
      </c>
      <c r="V1742" s="10">
        <f t="shared" ref="V1742:V1744" si="513">T1742-U1742</f>
        <v>1150</v>
      </c>
      <c r="W1742" s="4" t="s">
        <v>122</v>
      </c>
      <c r="X1742" s="2"/>
      <c r="Y1742" s="11">
        <v>1</v>
      </c>
      <c r="Z1742" s="12">
        <f t="shared" ref="Z1742:Z1744" si="514">F1742-E1742</f>
        <v>0</v>
      </c>
      <c r="AA1742" s="4" t="s">
        <v>117</v>
      </c>
    </row>
    <row r="1743" spans="2:29">
      <c r="B1743" s="183">
        <f t="shared" si="493"/>
        <v>52</v>
      </c>
      <c r="C1743" s="107" t="str">
        <f t="shared" si="494"/>
        <v>ATK</v>
      </c>
      <c r="D1743" s="2" t="s">
        <v>4820</v>
      </c>
      <c r="E1743" s="3">
        <v>44174</v>
      </c>
      <c r="F1743" s="3">
        <v>44187</v>
      </c>
      <c r="G1743" s="108">
        <f t="shared" si="495"/>
        <v>12</v>
      </c>
      <c r="H1743" s="108" t="str">
        <f t="shared" si="496"/>
        <v>완료</v>
      </c>
      <c r="I1743" s="112" t="s">
        <v>2604</v>
      </c>
      <c r="J1743" s="4" t="s">
        <v>132</v>
      </c>
      <c r="K1743" s="5" t="s">
        <v>322</v>
      </c>
      <c r="L1743" s="6" t="str">
        <f t="shared" ref="L1743" si="515">LEFT(K1743,3)</f>
        <v>3T1</v>
      </c>
      <c r="M1743" s="13" t="s">
        <v>296</v>
      </c>
      <c r="N1743" s="7" t="s">
        <v>5602</v>
      </c>
      <c r="O1743" s="13" t="s">
        <v>5453</v>
      </c>
      <c r="P1743" s="115" t="s">
        <v>2630</v>
      </c>
      <c r="Q1743" s="8"/>
      <c r="R1743" s="2">
        <v>2</v>
      </c>
      <c r="S1743" s="9">
        <v>1000</v>
      </c>
      <c r="T1743" s="10">
        <f t="shared" ref="T1743" si="516">(S1743*50)/100*R1743</f>
        <v>1000</v>
      </c>
      <c r="U1743" s="9">
        <v>5</v>
      </c>
      <c r="V1743" s="10">
        <f t="shared" ref="V1743" si="517">T1743-U1743</f>
        <v>995</v>
      </c>
      <c r="W1743" s="4" t="s">
        <v>122</v>
      </c>
      <c r="X1743" s="2"/>
      <c r="Y1743" s="11">
        <v>8</v>
      </c>
      <c r="Z1743" s="12">
        <f t="shared" ref="Z1743" si="518">F1743-E1743</f>
        <v>13</v>
      </c>
      <c r="AA1743" s="4" t="s">
        <v>33</v>
      </c>
    </row>
    <row r="1744" spans="2:29">
      <c r="B1744" s="183">
        <f t="shared" si="493"/>
        <v>52</v>
      </c>
      <c r="C1744" s="107" t="str">
        <f t="shared" si="494"/>
        <v>ATK</v>
      </c>
      <c r="D1744" s="2" t="s">
        <v>5452</v>
      </c>
      <c r="E1744" s="3">
        <v>44174</v>
      </c>
      <c r="F1744" s="3">
        <v>44187</v>
      </c>
      <c r="G1744" s="108">
        <f t="shared" si="495"/>
        <v>12</v>
      </c>
      <c r="H1744" s="108" t="str">
        <f t="shared" si="496"/>
        <v>완료</v>
      </c>
      <c r="I1744" s="112" t="s">
        <v>2604</v>
      </c>
      <c r="J1744" s="4" t="s">
        <v>132</v>
      </c>
      <c r="K1744" s="5" t="s">
        <v>322</v>
      </c>
      <c r="L1744" s="6" t="str">
        <f t="shared" si="511"/>
        <v>3T1</v>
      </c>
      <c r="M1744" s="13" t="s">
        <v>296</v>
      </c>
      <c r="N1744" s="7" t="s">
        <v>5602</v>
      </c>
      <c r="O1744" s="13" t="s">
        <v>5453</v>
      </c>
      <c r="P1744" s="115" t="s">
        <v>5454</v>
      </c>
      <c r="Q1744" s="8"/>
      <c r="R1744" s="2">
        <v>1</v>
      </c>
      <c r="S1744" s="9">
        <v>1000</v>
      </c>
      <c r="T1744" s="10">
        <f t="shared" si="512"/>
        <v>500</v>
      </c>
      <c r="U1744" s="9">
        <v>5</v>
      </c>
      <c r="V1744" s="10">
        <f t="shared" si="513"/>
        <v>495</v>
      </c>
      <c r="W1744" s="4" t="s">
        <v>122</v>
      </c>
      <c r="X1744" s="2"/>
      <c r="Y1744" s="11">
        <v>4</v>
      </c>
      <c r="Z1744" s="12">
        <f t="shared" si="514"/>
        <v>13</v>
      </c>
      <c r="AA1744" s="4" t="s">
        <v>174</v>
      </c>
    </row>
    <row r="1745" spans="2:27">
      <c r="B1745" s="183">
        <f t="shared" si="493"/>
        <v>50</v>
      </c>
      <c r="C1745" s="107" t="str">
        <f t="shared" si="494"/>
        <v>ATK</v>
      </c>
      <c r="D1745" s="2" t="s">
        <v>5461</v>
      </c>
      <c r="E1745" s="3">
        <v>44174</v>
      </c>
      <c r="F1745" s="3">
        <v>44175</v>
      </c>
      <c r="G1745" s="108">
        <f t="shared" si="495"/>
        <v>12</v>
      </c>
      <c r="H1745" s="108" t="str">
        <f t="shared" si="496"/>
        <v>Other</v>
      </c>
      <c r="I1745" s="112" t="s">
        <v>317</v>
      </c>
      <c r="J1745" s="4" t="s">
        <v>1885</v>
      </c>
      <c r="K1745" s="5" t="s">
        <v>1886</v>
      </c>
      <c r="L1745" s="6" t="str">
        <f t="shared" si="511"/>
        <v>2T3</v>
      </c>
      <c r="M1745" s="13" t="s">
        <v>270</v>
      </c>
      <c r="N1745" s="7" t="s">
        <v>5462</v>
      </c>
      <c r="O1745" s="13" t="s">
        <v>270</v>
      </c>
      <c r="P1745" s="115" t="s">
        <v>5463</v>
      </c>
      <c r="Q1745" s="8"/>
      <c r="R1745" s="2">
        <v>1</v>
      </c>
      <c r="S1745" s="9">
        <v>1500</v>
      </c>
      <c r="T1745" s="10">
        <f t="shared" si="508"/>
        <v>750</v>
      </c>
      <c r="U1745" s="9">
        <v>0</v>
      </c>
      <c r="V1745" s="10">
        <f t="shared" si="509"/>
        <v>750</v>
      </c>
      <c r="W1745" s="4" t="s">
        <v>5459</v>
      </c>
      <c r="X1745" s="2"/>
      <c r="Y1745" s="11">
        <v>1</v>
      </c>
      <c r="Z1745" s="12">
        <f t="shared" si="510"/>
        <v>1</v>
      </c>
      <c r="AA1745" s="4" t="s">
        <v>5460</v>
      </c>
    </row>
    <row r="1746" spans="2:27">
      <c r="B1746" s="183">
        <f t="shared" si="493"/>
        <v>51</v>
      </c>
      <c r="C1746" s="107" t="str">
        <f t="shared" si="494"/>
        <v>ATK</v>
      </c>
      <c r="D1746" s="2" t="s">
        <v>5464</v>
      </c>
      <c r="E1746" s="3">
        <v>44174</v>
      </c>
      <c r="F1746" s="3">
        <v>44179</v>
      </c>
      <c r="G1746" s="108">
        <f t="shared" si="495"/>
        <v>12</v>
      </c>
      <c r="H1746" s="108" t="str">
        <f t="shared" si="496"/>
        <v>완료</v>
      </c>
      <c r="I1746" s="112" t="s">
        <v>218</v>
      </c>
      <c r="J1746" s="4" t="s">
        <v>5465</v>
      </c>
      <c r="K1746" s="5" t="s">
        <v>5466</v>
      </c>
      <c r="L1746" s="6" t="str">
        <f t="shared" si="507"/>
        <v>1T4</v>
      </c>
      <c r="M1746" s="13" t="s">
        <v>270</v>
      </c>
      <c r="N1746" s="7" t="s">
        <v>5457</v>
      </c>
      <c r="O1746" s="13" t="s">
        <v>270</v>
      </c>
      <c r="P1746" s="115" t="s">
        <v>5467</v>
      </c>
      <c r="Q1746" s="8"/>
      <c r="R1746" s="2">
        <v>1</v>
      </c>
      <c r="S1746" s="9">
        <v>910</v>
      </c>
      <c r="T1746" s="10">
        <f t="shared" si="508"/>
        <v>455</v>
      </c>
      <c r="U1746" s="9">
        <v>25</v>
      </c>
      <c r="V1746" s="10">
        <f t="shared" si="509"/>
        <v>430</v>
      </c>
      <c r="W1746" s="4" t="s">
        <v>5459</v>
      </c>
      <c r="X1746" s="2"/>
      <c r="Y1746" s="11">
        <v>2</v>
      </c>
      <c r="Z1746" s="12">
        <f t="shared" si="510"/>
        <v>5</v>
      </c>
      <c r="AA1746" s="4" t="s">
        <v>5460</v>
      </c>
    </row>
    <row r="1747" spans="2:27">
      <c r="B1747" s="183">
        <f t="shared" si="493"/>
        <v>50</v>
      </c>
      <c r="C1747" s="107" t="str">
        <f t="shared" si="494"/>
        <v>ATK</v>
      </c>
      <c r="D1747" s="2" t="s">
        <v>3293</v>
      </c>
      <c r="E1747" s="3">
        <v>44175</v>
      </c>
      <c r="F1747" s="3">
        <v>44175</v>
      </c>
      <c r="G1747" s="108">
        <f t="shared" si="495"/>
        <v>12</v>
      </c>
      <c r="H1747" s="108" t="str">
        <f t="shared" si="496"/>
        <v>Other</v>
      </c>
      <c r="I1747" s="112" t="s">
        <v>31</v>
      </c>
      <c r="J1747" s="4" t="s">
        <v>31</v>
      </c>
      <c r="K1747" s="5" t="s">
        <v>31</v>
      </c>
      <c r="L1747" s="6" t="str">
        <f t="shared" si="507"/>
        <v>Oth</v>
      </c>
      <c r="M1747" s="13" t="s">
        <v>3293</v>
      </c>
      <c r="N1747" s="7" t="s">
        <v>5191</v>
      </c>
      <c r="O1747" s="13" t="s">
        <v>226</v>
      </c>
      <c r="P1747" s="115" t="s">
        <v>5474</v>
      </c>
      <c r="Q1747" s="8"/>
      <c r="R1747" s="2">
        <v>1</v>
      </c>
      <c r="S1747" s="9">
        <v>0</v>
      </c>
      <c r="T1747" s="10">
        <f t="shared" si="508"/>
        <v>0</v>
      </c>
      <c r="U1747" s="9">
        <v>0</v>
      </c>
      <c r="V1747" s="10">
        <f t="shared" si="509"/>
        <v>0</v>
      </c>
      <c r="W1747" s="4" t="s">
        <v>249</v>
      </c>
      <c r="X1747" s="2"/>
      <c r="Y1747" s="11">
        <v>1</v>
      </c>
      <c r="Z1747" s="12">
        <f t="shared" si="510"/>
        <v>0</v>
      </c>
      <c r="AA1747" s="4" t="s">
        <v>5472</v>
      </c>
    </row>
    <row r="1748" spans="2:27">
      <c r="B1748" s="183">
        <f t="shared" si="493"/>
        <v>50</v>
      </c>
      <c r="C1748" s="107" t="str">
        <f t="shared" si="494"/>
        <v>ATK</v>
      </c>
      <c r="D1748" s="2" t="s">
        <v>3293</v>
      </c>
      <c r="E1748" s="3">
        <v>44175</v>
      </c>
      <c r="F1748" s="3">
        <v>44175</v>
      </c>
      <c r="G1748" s="108">
        <f t="shared" si="495"/>
        <v>12</v>
      </c>
      <c r="H1748" s="108" t="str">
        <f t="shared" si="496"/>
        <v>Other</v>
      </c>
      <c r="I1748" s="112" t="s">
        <v>251</v>
      </c>
      <c r="J1748" s="4" t="s">
        <v>31</v>
      </c>
      <c r="K1748" s="5" t="s">
        <v>31</v>
      </c>
      <c r="L1748" s="6" t="str">
        <f t="shared" si="507"/>
        <v>Oth</v>
      </c>
      <c r="M1748" s="13" t="s">
        <v>3293</v>
      </c>
      <c r="N1748" s="7" t="s">
        <v>5191</v>
      </c>
      <c r="O1748" s="13" t="s">
        <v>226</v>
      </c>
      <c r="P1748" s="115" t="s">
        <v>5474</v>
      </c>
      <c r="Q1748" s="8"/>
      <c r="R1748" s="2">
        <v>1</v>
      </c>
      <c r="S1748" s="9">
        <v>0</v>
      </c>
      <c r="T1748" s="10">
        <f t="shared" si="508"/>
        <v>0</v>
      </c>
      <c r="U1748" s="9">
        <v>0</v>
      </c>
      <c r="V1748" s="10">
        <f t="shared" si="509"/>
        <v>0</v>
      </c>
      <c r="W1748" s="4" t="s">
        <v>249</v>
      </c>
      <c r="X1748" s="2"/>
      <c r="Y1748" s="11">
        <v>1</v>
      </c>
      <c r="Z1748" s="12">
        <f t="shared" si="510"/>
        <v>0</v>
      </c>
      <c r="AA1748" s="4" t="s">
        <v>5473</v>
      </c>
    </row>
    <row r="1749" spans="2:27">
      <c r="B1749" s="183">
        <f t="shared" si="493"/>
        <v>50</v>
      </c>
      <c r="C1749" s="107" t="str">
        <f t="shared" si="494"/>
        <v>ATK</v>
      </c>
      <c r="D1749" s="2" t="s">
        <v>253</v>
      </c>
      <c r="E1749" s="3">
        <v>44175</v>
      </c>
      <c r="F1749" s="3">
        <v>44175</v>
      </c>
      <c r="G1749" s="108">
        <f t="shared" si="495"/>
        <v>12</v>
      </c>
      <c r="H1749" s="108" t="str">
        <f t="shared" si="496"/>
        <v>완료</v>
      </c>
      <c r="I1749" s="112" t="s">
        <v>218</v>
      </c>
      <c r="J1749" s="4" t="s">
        <v>5479</v>
      </c>
      <c r="K1749" s="5" t="s">
        <v>5480</v>
      </c>
      <c r="L1749" s="6" t="s">
        <v>5481</v>
      </c>
      <c r="M1749" s="13" t="s">
        <v>5478</v>
      </c>
      <c r="N1749" s="7" t="s">
        <v>5476</v>
      </c>
      <c r="O1749" s="13" t="s">
        <v>284</v>
      </c>
      <c r="P1749" s="115" t="s">
        <v>5477</v>
      </c>
      <c r="Q1749" s="8"/>
      <c r="R1749" s="2">
        <v>1</v>
      </c>
      <c r="S1749" s="9">
        <v>1000</v>
      </c>
      <c r="T1749" s="10">
        <f t="shared" si="508"/>
        <v>500</v>
      </c>
      <c r="U1749" s="9">
        <v>10</v>
      </c>
      <c r="V1749" s="10">
        <f t="shared" si="509"/>
        <v>490</v>
      </c>
      <c r="W1749" s="4" t="s">
        <v>122</v>
      </c>
      <c r="X1749" s="2"/>
      <c r="Y1749" s="11">
        <v>3</v>
      </c>
      <c r="Z1749" s="12">
        <f t="shared" si="510"/>
        <v>0</v>
      </c>
      <c r="AA1749" s="4" t="s">
        <v>212</v>
      </c>
    </row>
    <row r="1750" spans="2:27">
      <c r="B1750" s="183">
        <f t="shared" si="493"/>
        <v>50</v>
      </c>
      <c r="C1750" s="107" t="str">
        <f t="shared" si="494"/>
        <v>ATK</v>
      </c>
      <c r="D1750" s="2" t="s">
        <v>3293</v>
      </c>
      <c r="E1750" s="3">
        <v>44176</v>
      </c>
      <c r="F1750" s="3">
        <v>44176</v>
      </c>
      <c r="G1750" s="108">
        <f t="shared" si="495"/>
        <v>12</v>
      </c>
      <c r="H1750" s="108" t="str">
        <f t="shared" si="496"/>
        <v>Other</v>
      </c>
      <c r="I1750" s="112" t="s">
        <v>31</v>
      </c>
      <c r="J1750" s="4" t="s">
        <v>31</v>
      </c>
      <c r="K1750" s="5" t="s">
        <v>31</v>
      </c>
      <c r="L1750" s="6" t="str">
        <f t="shared" ref="L1750:L1751" si="519">LEFT(K1750,3)</f>
        <v>Oth</v>
      </c>
      <c r="M1750" s="13" t="s">
        <v>3293</v>
      </c>
      <c r="N1750" s="7" t="s">
        <v>5191</v>
      </c>
      <c r="O1750" s="13" t="s">
        <v>226</v>
      </c>
      <c r="P1750" s="115" t="s">
        <v>5502</v>
      </c>
      <c r="Q1750" s="8"/>
      <c r="R1750" s="2">
        <v>1</v>
      </c>
      <c r="S1750" s="9">
        <v>0</v>
      </c>
      <c r="T1750" s="10">
        <f t="shared" ref="T1750:T1751" si="520">(S1750*50)/100*R1750</f>
        <v>0</v>
      </c>
      <c r="U1750" s="9">
        <v>0</v>
      </c>
      <c r="V1750" s="10">
        <f t="shared" ref="V1750:V1751" si="521">T1750-U1750</f>
        <v>0</v>
      </c>
      <c r="W1750" s="4" t="s">
        <v>249</v>
      </c>
      <c r="X1750" s="2"/>
      <c r="Y1750" s="11">
        <v>1</v>
      </c>
      <c r="Z1750" s="12">
        <f t="shared" ref="Z1750:Z1751" si="522">F1750-E1750</f>
        <v>0</v>
      </c>
      <c r="AA1750" s="4" t="s">
        <v>30</v>
      </c>
    </row>
    <row r="1751" spans="2:27">
      <c r="B1751" s="183">
        <f t="shared" si="493"/>
        <v>50</v>
      </c>
      <c r="C1751" s="107" t="str">
        <f t="shared" si="494"/>
        <v>ATK</v>
      </c>
      <c r="D1751" s="2" t="s">
        <v>3293</v>
      </c>
      <c r="E1751" s="3">
        <v>44176</v>
      </c>
      <c r="F1751" s="3">
        <v>44176</v>
      </c>
      <c r="G1751" s="108">
        <f t="shared" si="495"/>
        <v>12</v>
      </c>
      <c r="H1751" s="108" t="str">
        <f t="shared" si="496"/>
        <v>Other</v>
      </c>
      <c r="I1751" s="112" t="s">
        <v>251</v>
      </c>
      <c r="J1751" s="4" t="s">
        <v>31</v>
      </c>
      <c r="K1751" s="5" t="s">
        <v>31</v>
      </c>
      <c r="L1751" s="6" t="str">
        <f t="shared" si="519"/>
        <v>Oth</v>
      </c>
      <c r="M1751" s="13" t="s">
        <v>3293</v>
      </c>
      <c r="N1751" s="7" t="s">
        <v>5191</v>
      </c>
      <c r="O1751" s="13" t="s">
        <v>226</v>
      </c>
      <c r="P1751" s="115" t="s">
        <v>5502</v>
      </c>
      <c r="Q1751" s="8"/>
      <c r="R1751" s="2">
        <v>1</v>
      </c>
      <c r="S1751" s="9">
        <v>0</v>
      </c>
      <c r="T1751" s="10">
        <f t="shared" si="520"/>
        <v>0</v>
      </c>
      <c r="U1751" s="9">
        <v>0</v>
      </c>
      <c r="V1751" s="10">
        <f t="shared" si="521"/>
        <v>0</v>
      </c>
      <c r="W1751" s="4" t="s">
        <v>249</v>
      </c>
      <c r="X1751" s="2"/>
      <c r="Y1751" s="11">
        <v>1</v>
      </c>
      <c r="Z1751" s="12">
        <f t="shared" si="522"/>
        <v>0</v>
      </c>
      <c r="AA1751" s="4" t="s">
        <v>174</v>
      </c>
    </row>
    <row r="1752" spans="2:27">
      <c r="B1752" s="183">
        <f t="shared" si="493"/>
        <v>50</v>
      </c>
      <c r="C1752" s="107" t="str">
        <f t="shared" si="494"/>
        <v>ATK</v>
      </c>
      <c r="D1752" s="2" t="s">
        <v>217</v>
      </c>
      <c r="E1752" s="3">
        <v>44172</v>
      </c>
      <c r="F1752" s="3">
        <v>44175</v>
      </c>
      <c r="G1752" s="108">
        <f t="shared" si="495"/>
        <v>12</v>
      </c>
      <c r="H1752" s="108" t="str">
        <f t="shared" si="496"/>
        <v>완료</v>
      </c>
      <c r="I1752" s="112" t="s">
        <v>218</v>
      </c>
      <c r="J1752" s="4" t="s">
        <v>127</v>
      </c>
      <c r="K1752" s="5" t="s">
        <v>131</v>
      </c>
      <c r="L1752" s="6" t="str">
        <f t="shared" si="507"/>
        <v>1T4</v>
      </c>
      <c r="M1752" s="13" t="s">
        <v>994</v>
      </c>
      <c r="N1752" s="7" t="s">
        <v>5482</v>
      </c>
      <c r="O1752" s="13" t="s">
        <v>5483</v>
      </c>
      <c r="P1752" s="115" t="s">
        <v>1811</v>
      </c>
      <c r="Q1752" s="8" t="s">
        <v>5484</v>
      </c>
      <c r="R1752" s="2">
        <v>1</v>
      </c>
      <c r="S1752" s="9">
        <v>1500</v>
      </c>
      <c r="T1752" s="10">
        <f t="shared" si="508"/>
        <v>750</v>
      </c>
      <c r="U1752" s="9">
        <v>1</v>
      </c>
      <c r="V1752" s="10">
        <f t="shared" si="509"/>
        <v>749</v>
      </c>
      <c r="W1752" s="4" t="s">
        <v>122</v>
      </c>
      <c r="X1752" s="2"/>
      <c r="Y1752" s="11">
        <v>3</v>
      </c>
      <c r="Z1752" s="12">
        <f t="shared" si="510"/>
        <v>3</v>
      </c>
      <c r="AA1752" s="4" t="s">
        <v>120</v>
      </c>
    </row>
    <row r="1753" spans="2:27">
      <c r="B1753" s="183">
        <f t="shared" si="493"/>
        <v>51</v>
      </c>
      <c r="C1753" s="107" t="str">
        <f t="shared" si="494"/>
        <v>ATK</v>
      </c>
      <c r="D1753" s="2" t="s">
        <v>5520</v>
      </c>
      <c r="E1753" s="3">
        <v>44176</v>
      </c>
      <c r="F1753" s="3">
        <v>44181</v>
      </c>
      <c r="G1753" s="108">
        <f t="shared" si="495"/>
        <v>12</v>
      </c>
      <c r="H1753" s="108" t="str">
        <f t="shared" si="496"/>
        <v>완료</v>
      </c>
      <c r="I1753" s="112" t="s">
        <v>218</v>
      </c>
      <c r="J1753" s="4" t="s">
        <v>5521</v>
      </c>
      <c r="K1753" s="5" t="s">
        <v>1014</v>
      </c>
      <c r="L1753" s="6" t="str">
        <f t="shared" si="507"/>
        <v>1T3</v>
      </c>
      <c r="M1753" s="13" t="s">
        <v>5523</v>
      </c>
      <c r="N1753" s="7" t="s">
        <v>5524</v>
      </c>
      <c r="O1753" s="13" t="s">
        <v>926</v>
      </c>
      <c r="P1753" s="115" t="s">
        <v>5526</v>
      </c>
      <c r="Q1753" s="8"/>
      <c r="R1753" s="2">
        <v>3</v>
      </c>
      <c r="S1753" s="9">
        <v>1500</v>
      </c>
      <c r="T1753" s="10">
        <f t="shared" si="508"/>
        <v>2250</v>
      </c>
      <c r="U1753" s="9"/>
      <c r="V1753" s="10">
        <f t="shared" si="509"/>
        <v>2250</v>
      </c>
      <c r="W1753" s="4" t="s">
        <v>122</v>
      </c>
      <c r="X1753" s="2"/>
      <c r="Y1753" s="11">
        <v>3</v>
      </c>
      <c r="Z1753" s="12">
        <f t="shared" si="510"/>
        <v>5</v>
      </c>
      <c r="AA1753" s="4" t="s">
        <v>5527</v>
      </c>
    </row>
    <row r="1754" spans="2:27">
      <c r="B1754" s="183">
        <f t="shared" si="493"/>
        <v>51</v>
      </c>
      <c r="C1754" s="107" t="str">
        <f t="shared" si="494"/>
        <v>ATK</v>
      </c>
      <c r="D1754" s="2" t="s">
        <v>5520</v>
      </c>
      <c r="E1754" s="3">
        <v>44176</v>
      </c>
      <c r="F1754" s="3">
        <v>44180</v>
      </c>
      <c r="G1754" s="108">
        <f t="shared" si="495"/>
        <v>12</v>
      </c>
      <c r="H1754" s="108" t="str">
        <f t="shared" si="496"/>
        <v>완료</v>
      </c>
      <c r="I1754" s="112" t="s">
        <v>218</v>
      </c>
      <c r="J1754" s="4" t="s">
        <v>5522</v>
      </c>
      <c r="K1754" s="5" t="s">
        <v>1014</v>
      </c>
      <c r="L1754" s="6" t="str">
        <f t="shared" si="507"/>
        <v>1T3</v>
      </c>
      <c r="M1754" s="13" t="s">
        <v>5523</v>
      </c>
      <c r="N1754" s="7" t="s">
        <v>5525</v>
      </c>
      <c r="O1754" s="13" t="s">
        <v>926</v>
      </c>
      <c r="P1754" s="115" t="s">
        <v>5526</v>
      </c>
      <c r="Q1754" s="8"/>
      <c r="R1754" s="2">
        <v>1</v>
      </c>
      <c r="S1754" s="9">
        <v>1500</v>
      </c>
      <c r="T1754" s="10">
        <f t="shared" si="508"/>
        <v>750</v>
      </c>
      <c r="U1754" s="9">
        <v>15</v>
      </c>
      <c r="V1754" s="10">
        <f t="shared" si="509"/>
        <v>735</v>
      </c>
      <c r="W1754" s="4" t="s">
        <v>122</v>
      </c>
      <c r="X1754" s="2"/>
      <c r="Y1754" s="11">
        <v>2</v>
      </c>
      <c r="Z1754" s="12"/>
      <c r="AA1754" s="4" t="s">
        <v>5527</v>
      </c>
    </row>
    <row r="1755" spans="2:27">
      <c r="B1755" s="183">
        <f t="shared" si="493"/>
        <v>50</v>
      </c>
      <c r="C1755" s="107" t="str">
        <f t="shared" si="494"/>
        <v>ATK</v>
      </c>
      <c r="D1755" s="2" t="s">
        <v>664</v>
      </c>
      <c r="E1755" s="3">
        <v>44176</v>
      </c>
      <c r="F1755" s="3">
        <v>44176</v>
      </c>
      <c r="G1755" s="108">
        <f t="shared" si="495"/>
        <v>12</v>
      </c>
      <c r="H1755" s="108" t="str">
        <f t="shared" si="496"/>
        <v>완료</v>
      </c>
      <c r="I1755" s="112" t="s">
        <v>218</v>
      </c>
      <c r="J1755" s="4" t="s">
        <v>127</v>
      </c>
      <c r="K1755" s="5" t="s">
        <v>135</v>
      </c>
      <c r="L1755" s="6" t="str">
        <f t="shared" si="507"/>
        <v>1T3</v>
      </c>
      <c r="M1755" s="13" t="s">
        <v>5485</v>
      </c>
      <c r="N1755" s="7" t="s">
        <v>5486</v>
      </c>
      <c r="O1755" s="13" t="s">
        <v>5487</v>
      </c>
      <c r="P1755" s="115" t="s">
        <v>5488</v>
      </c>
      <c r="Q1755" s="8"/>
      <c r="R1755" s="2">
        <v>3</v>
      </c>
      <c r="S1755" s="9">
        <v>70</v>
      </c>
      <c r="T1755" s="10">
        <f t="shared" si="508"/>
        <v>105</v>
      </c>
      <c r="U1755" s="9">
        <v>0</v>
      </c>
      <c r="V1755" s="10">
        <f t="shared" si="509"/>
        <v>105</v>
      </c>
      <c r="W1755" s="4" t="s">
        <v>122</v>
      </c>
      <c r="X1755" s="2"/>
      <c r="Y1755" s="11">
        <v>3</v>
      </c>
      <c r="Z1755" s="12">
        <f t="shared" si="510"/>
        <v>0</v>
      </c>
      <c r="AA1755" s="4" t="s">
        <v>120</v>
      </c>
    </row>
    <row r="1756" spans="2:27">
      <c r="B1756" s="183">
        <f t="shared" si="493"/>
        <v>50</v>
      </c>
      <c r="C1756" s="107" t="str">
        <f t="shared" si="494"/>
        <v>ATK</v>
      </c>
      <c r="D1756" s="2" t="s">
        <v>664</v>
      </c>
      <c r="E1756" s="3">
        <v>44176</v>
      </c>
      <c r="F1756" s="3">
        <v>44176</v>
      </c>
      <c r="G1756" s="108">
        <f t="shared" si="495"/>
        <v>12</v>
      </c>
      <c r="H1756" s="108" t="str">
        <f t="shared" si="496"/>
        <v>완료</v>
      </c>
      <c r="I1756" s="112" t="s">
        <v>218</v>
      </c>
      <c r="J1756" s="4" t="s">
        <v>127</v>
      </c>
      <c r="K1756" s="5" t="s">
        <v>135</v>
      </c>
      <c r="L1756" s="6" t="str">
        <f t="shared" ref="L1756" si="523">LEFT(K1756,3)</f>
        <v>1T3</v>
      </c>
      <c r="M1756" s="13" t="s">
        <v>5485</v>
      </c>
      <c r="N1756" s="7" t="s">
        <v>5491</v>
      </c>
      <c r="O1756" s="13" t="s">
        <v>5489</v>
      </c>
      <c r="P1756" s="115" t="s">
        <v>5490</v>
      </c>
      <c r="Q1756" s="8"/>
      <c r="R1756" s="2">
        <v>1</v>
      </c>
      <c r="S1756" s="9">
        <v>500</v>
      </c>
      <c r="T1756" s="10">
        <f t="shared" si="508"/>
        <v>250</v>
      </c>
      <c r="U1756" s="9">
        <v>40</v>
      </c>
      <c r="V1756" s="10">
        <f t="shared" si="509"/>
        <v>210</v>
      </c>
      <c r="W1756" s="4" t="s">
        <v>122</v>
      </c>
      <c r="X1756" s="2"/>
      <c r="Y1756" s="11">
        <v>4</v>
      </c>
      <c r="Z1756" s="12">
        <f t="shared" si="510"/>
        <v>0</v>
      </c>
      <c r="AA1756" s="4" t="s">
        <v>212</v>
      </c>
    </row>
    <row r="1757" spans="2:27">
      <c r="B1757" s="183">
        <f t="shared" si="493"/>
        <v>50</v>
      </c>
      <c r="C1757" s="107" t="str">
        <f t="shared" si="494"/>
        <v>ATK</v>
      </c>
      <c r="D1757" s="2" t="s">
        <v>295</v>
      </c>
      <c r="E1757" s="3">
        <v>44176</v>
      </c>
      <c r="F1757" s="3">
        <v>44176</v>
      </c>
      <c r="G1757" s="108">
        <f t="shared" si="495"/>
        <v>12</v>
      </c>
      <c r="H1757" s="108" t="str">
        <f t="shared" si="496"/>
        <v>완료</v>
      </c>
      <c r="I1757" s="112" t="s">
        <v>218</v>
      </c>
      <c r="J1757" s="4" t="s">
        <v>132</v>
      </c>
      <c r="K1757" s="5" t="s">
        <v>133</v>
      </c>
      <c r="L1757" s="6" t="str">
        <f t="shared" si="507"/>
        <v>3T3</v>
      </c>
      <c r="M1757" s="13" t="s">
        <v>946</v>
      </c>
      <c r="N1757" s="7" t="s">
        <v>5140</v>
      </c>
      <c r="O1757" s="13" t="s">
        <v>3435</v>
      </c>
      <c r="P1757" s="115" t="s">
        <v>5492</v>
      </c>
      <c r="Q1757" s="8" t="s">
        <v>5493</v>
      </c>
      <c r="R1757" s="2">
        <v>1</v>
      </c>
      <c r="S1757" s="9">
        <v>1000</v>
      </c>
      <c r="T1757" s="10">
        <f t="shared" si="508"/>
        <v>500</v>
      </c>
      <c r="U1757" s="9">
        <v>1</v>
      </c>
      <c r="V1757" s="10">
        <f t="shared" si="509"/>
        <v>499</v>
      </c>
      <c r="W1757" s="4" t="s">
        <v>122</v>
      </c>
      <c r="X1757" s="2"/>
      <c r="Y1757" s="11">
        <v>3</v>
      </c>
      <c r="Z1757" s="12">
        <f t="shared" si="510"/>
        <v>0</v>
      </c>
      <c r="AA1757" s="4" t="s">
        <v>120</v>
      </c>
    </row>
    <row r="1758" spans="2:27">
      <c r="B1758" s="183">
        <f t="shared" si="493"/>
        <v>50</v>
      </c>
      <c r="C1758" s="107" t="str">
        <f t="shared" si="494"/>
        <v>ATK</v>
      </c>
      <c r="D1758" s="2" t="s">
        <v>5494</v>
      </c>
      <c r="E1758" s="3">
        <v>44176</v>
      </c>
      <c r="F1758" s="3">
        <v>44176</v>
      </c>
      <c r="G1758" s="108">
        <f t="shared" si="495"/>
        <v>12</v>
      </c>
      <c r="H1758" s="108" t="str">
        <f t="shared" si="496"/>
        <v>완료</v>
      </c>
      <c r="I1758" s="112" t="s">
        <v>218</v>
      </c>
      <c r="J1758" s="4" t="s">
        <v>127</v>
      </c>
      <c r="K1758" s="5" t="s">
        <v>131</v>
      </c>
      <c r="L1758" s="6" t="str">
        <f t="shared" si="507"/>
        <v>1T4</v>
      </c>
      <c r="M1758" s="13" t="s">
        <v>5495</v>
      </c>
      <c r="N1758" s="7" t="s">
        <v>5496</v>
      </c>
      <c r="O1758" s="13" t="s">
        <v>5497</v>
      </c>
      <c r="P1758" s="115"/>
      <c r="Q1758" s="8"/>
      <c r="R1758" s="2">
        <v>1</v>
      </c>
      <c r="S1758" s="9">
        <v>700</v>
      </c>
      <c r="T1758" s="10">
        <f t="shared" si="508"/>
        <v>350</v>
      </c>
      <c r="U1758" s="9">
        <v>5</v>
      </c>
      <c r="V1758" s="10">
        <f t="shared" si="509"/>
        <v>345</v>
      </c>
      <c r="W1758" s="4" t="s">
        <v>122</v>
      </c>
      <c r="X1758" s="2"/>
      <c r="Y1758" s="11">
        <v>3</v>
      </c>
      <c r="Z1758" s="12">
        <f t="shared" si="510"/>
        <v>0</v>
      </c>
      <c r="AA1758" s="4" t="s">
        <v>117</v>
      </c>
    </row>
    <row r="1759" spans="2:27">
      <c r="B1759" s="183">
        <f t="shared" si="493"/>
        <v>51</v>
      </c>
      <c r="C1759" s="107" t="str">
        <f t="shared" si="494"/>
        <v>ATK</v>
      </c>
      <c r="D1759" s="2" t="s">
        <v>5410</v>
      </c>
      <c r="E1759" s="3">
        <v>44179</v>
      </c>
      <c r="F1759" s="3">
        <v>44179</v>
      </c>
      <c r="G1759" s="108">
        <f t="shared" si="495"/>
        <v>12</v>
      </c>
      <c r="H1759" s="108" t="str">
        <f t="shared" si="496"/>
        <v>완료</v>
      </c>
      <c r="I1759" s="112" t="s">
        <v>218</v>
      </c>
      <c r="J1759" s="4" t="s">
        <v>127</v>
      </c>
      <c r="K1759" s="5" t="s">
        <v>135</v>
      </c>
      <c r="L1759" s="6" t="str">
        <f t="shared" si="507"/>
        <v>1T3</v>
      </c>
      <c r="M1759" s="13" t="s">
        <v>270</v>
      </c>
      <c r="N1759" s="7" t="s">
        <v>5498</v>
      </c>
      <c r="O1759" s="13" t="s">
        <v>270</v>
      </c>
      <c r="P1759" s="115" t="s">
        <v>5499</v>
      </c>
      <c r="Q1759" s="8"/>
      <c r="R1759" s="2">
        <v>1</v>
      </c>
      <c r="S1759" s="9">
        <v>710</v>
      </c>
      <c r="T1759" s="10">
        <f t="shared" si="508"/>
        <v>355</v>
      </c>
      <c r="U1759" s="9">
        <v>15</v>
      </c>
      <c r="V1759" s="10">
        <f t="shared" si="509"/>
        <v>340</v>
      </c>
      <c r="W1759" s="4" t="s">
        <v>5500</v>
      </c>
      <c r="X1759" s="2"/>
      <c r="Y1759" s="11">
        <v>1</v>
      </c>
      <c r="Z1759" s="12">
        <f t="shared" si="510"/>
        <v>0</v>
      </c>
      <c r="AA1759" s="4" t="s">
        <v>5501</v>
      </c>
    </row>
    <row r="1760" spans="2:27">
      <c r="B1760" s="183">
        <f t="shared" si="493"/>
        <v>51</v>
      </c>
      <c r="C1760" s="107" t="str">
        <f t="shared" si="494"/>
        <v>ATK</v>
      </c>
      <c r="D1760" s="2" t="s">
        <v>3293</v>
      </c>
      <c r="E1760" s="3">
        <v>44179</v>
      </c>
      <c r="F1760" s="3">
        <v>44179</v>
      </c>
      <c r="G1760" s="108">
        <f t="shared" si="495"/>
        <v>12</v>
      </c>
      <c r="H1760" s="108" t="str">
        <f t="shared" si="496"/>
        <v>Other</v>
      </c>
      <c r="I1760" s="112" t="s">
        <v>31</v>
      </c>
      <c r="J1760" s="4" t="s">
        <v>31</v>
      </c>
      <c r="K1760" s="5" t="s">
        <v>31</v>
      </c>
      <c r="L1760" s="6" t="str">
        <f t="shared" ref="L1760:L1762" si="524">LEFT(K1760,3)</f>
        <v>Oth</v>
      </c>
      <c r="M1760" s="13" t="s">
        <v>3293</v>
      </c>
      <c r="N1760" s="7" t="s">
        <v>5191</v>
      </c>
      <c r="O1760" s="13" t="s">
        <v>226</v>
      </c>
      <c r="P1760" s="115" t="s">
        <v>5544</v>
      </c>
      <c r="Q1760" s="8"/>
      <c r="R1760" s="2">
        <v>1</v>
      </c>
      <c r="S1760" s="9">
        <v>0</v>
      </c>
      <c r="T1760" s="10">
        <f t="shared" ref="T1760:T1761" si="525">(S1760*50)/100*R1760</f>
        <v>0</v>
      </c>
      <c r="U1760" s="9">
        <v>0</v>
      </c>
      <c r="V1760" s="10">
        <f t="shared" ref="V1760:V1761" si="526">T1760-U1760</f>
        <v>0</v>
      </c>
      <c r="W1760" s="4" t="s">
        <v>249</v>
      </c>
      <c r="X1760" s="2"/>
      <c r="Y1760" s="11">
        <v>1</v>
      </c>
      <c r="Z1760" s="12">
        <f t="shared" ref="Z1760:Z1761" si="527">F1760-E1760</f>
        <v>0</v>
      </c>
      <c r="AA1760" s="4" t="s">
        <v>30</v>
      </c>
    </row>
    <row r="1761" spans="2:27">
      <c r="B1761" s="183">
        <f t="shared" si="493"/>
        <v>51</v>
      </c>
      <c r="C1761" s="107" t="str">
        <f t="shared" si="494"/>
        <v>ATK</v>
      </c>
      <c r="D1761" s="2" t="s">
        <v>3293</v>
      </c>
      <c r="E1761" s="3">
        <v>44179</v>
      </c>
      <c r="F1761" s="3">
        <v>44179</v>
      </c>
      <c r="G1761" s="108">
        <f t="shared" si="495"/>
        <v>12</v>
      </c>
      <c r="H1761" s="108" t="str">
        <f t="shared" si="496"/>
        <v>Other</v>
      </c>
      <c r="I1761" s="112" t="s">
        <v>251</v>
      </c>
      <c r="J1761" s="4" t="s">
        <v>31</v>
      </c>
      <c r="K1761" s="5" t="s">
        <v>31</v>
      </c>
      <c r="L1761" s="6" t="str">
        <f t="shared" si="524"/>
        <v>Oth</v>
      </c>
      <c r="M1761" s="13" t="s">
        <v>3293</v>
      </c>
      <c r="N1761" s="7" t="s">
        <v>5191</v>
      </c>
      <c r="O1761" s="13" t="s">
        <v>226</v>
      </c>
      <c r="P1761" s="115" t="s">
        <v>5544</v>
      </c>
      <c r="Q1761" s="8"/>
      <c r="R1761" s="2">
        <v>1</v>
      </c>
      <c r="S1761" s="9">
        <v>0</v>
      </c>
      <c r="T1761" s="10">
        <f t="shared" si="525"/>
        <v>0</v>
      </c>
      <c r="U1761" s="9">
        <v>0</v>
      </c>
      <c r="V1761" s="10">
        <f t="shared" si="526"/>
        <v>0</v>
      </c>
      <c r="W1761" s="4" t="s">
        <v>249</v>
      </c>
      <c r="X1761" s="2"/>
      <c r="Y1761" s="11">
        <v>1</v>
      </c>
      <c r="Z1761" s="12">
        <f t="shared" si="527"/>
        <v>0</v>
      </c>
      <c r="AA1761" s="4" t="s">
        <v>174</v>
      </c>
    </row>
    <row r="1762" spans="2:27">
      <c r="B1762" s="183">
        <f t="shared" si="493"/>
        <v>51</v>
      </c>
      <c r="C1762" s="107" t="str">
        <f t="shared" si="494"/>
        <v>ATK</v>
      </c>
      <c r="D1762" s="2" t="s">
        <v>5512</v>
      </c>
      <c r="E1762" s="3">
        <v>44144</v>
      </c>
      <c r="F1762" s="3">
        <v>44179</v>
      </c>
      <c r="G1762" s="108">
        <f t="shared" si="495"/>
        <v>12</v>
      </c>
      <c r="H1762" s="108" t="str">
        <f t="shared" si="496"/>
        <v>완료</v>
      </c>
      <c r="I1762" s="112" t="s">
        <v>218</v>
      </c>
      <c r="J1762" s="4" t="s">
        <v>127</v>
      </c>
      <c r="K1762" s="5" t="s">
        <v>209</v>
      </c>
      <c r="L1762" s="6" t="str">
        <f t="shared" si="524"/>
        <v>1T2</v>
      </c>
      <c r="M1762" s="13" t="s">
        <v>4115</v>
      </c>
      <c r="N1762" s="7" t="s">
        <v>5085</v>
      </c>
      <c r="O1762" s="13" t="s">
        <v>5086</v>
      </c>
      <c r="P1762" s="115" t="s">
        <v>5514</v>
      </c>
      <c r="Q1762" s="8" t="s">
        <v>5515</v>
      </c>
      <c r="R1762" s="2">
        <v>1</v>
      </c>
      <c r="S1762" s="9">
        <v>6000</v>
      </c>
      <c r="T1762" s="10">
        <f t="shared" si="508"/>
        <v>3000</v>
      </c>
      <c r="U1762" s="9">
        <v>2</v>
      </c>
      <c r="V1762" s="10">
        <f t="shared" si="509"/>
        <v>2998</v>
      </c>
      <c r="W1762" s="4" t="s">
        <v>122</v>
      </c>
      <c r="X1762" s="2"/>
      <c r="Y1762" s="11">
        <v>3</v>
      </c>
      <c r="Z1762" s="12">
        <f t="shared" si="510"/>
        <v>35</v>
      </c>
      <c r="AA1762" s="4" t="s">
        <v>120</v>
      </c>
    </row>
    <row r="1763" spans="2:27">
      <c r="B1763" s="183">
        <f t="shared" si="493"/>
        <v>51</v>
      </c>
      <c r="C1763" s="107" t="str">
        <f t="shared" si="494"/>
        <v>ATK</v>
      </c>
      <c r="D1763" s="2" t="s">
        <v>253</v>
      </c>
      <c r="E1763" s="3">
        <v>44175</v>
      </c>
      <c r="F1763" s="3">
        <v>44179</v>
      </c>
      <c r="G1763" s="108">
        <f t="shared" si="495"/>
        <v>12</v>
      </c>
      <c r="H1763" s="108" t="str">
        <f t="shared" si="496"/>
        <v>완료</v>
      </c>
      <c r="I1763" s="112" t="s">
        <v>218</v>
      </c>
      <c r="J1763" s="4" t="s">
        <v>127</v>
      </c>
      <c r="K1763" s="5" t="s">
        <v>128</v>
      </c>
      <c r="L1763" s="6" t="str">
        <f t="shared" si="507"/>
        <v>1T1</v>
      </c>
      <c r="M1763" s="13" t="s">
        <v>5402</v>
      </c>
      <c r="N1763" s="7" t="s">
        <v>5516</v>
      </c>
      <c r="O1763" s="13" t="s">
        <v>543</v>
      </c>
      <c r="P1763" s="115" t="s">
        <v>5517</v>
      </c>
      <c r="Q1763" s="8" t="s">
        <v>5518</v>
      </c>
      <c r="R1763" s="2">
        <v>1</v>
      </c>
      <c r="S1763" s="9">
        <v>80</v>
      </c>
      <c r="T1763" s="10">
        <f t="shared" si="508"/>
        <v>40</v>
      </c>
      <c r="U1763" s="9">
        <v>1</v>
      </c>
      <c r="V1763" s="10">
        <f t="shared" si="509"/>
        <v>39</v>
      </c>
      <c r="W1763" s="4" t="s">
        <v>122</v>
      </c>
      <c r="X1763" s="2"/>
      <c r="Y1763" s="11">
        <v>2</v>
      </c>
      <c r="Z1763" s="12">
        <f t="shared" si="510"/>
        <v>4</v>
      </c>
      <c r="AA1763" s="4" t="s">
        <v>120</v>
      </c>
    </row>
    <row r="1764" spans="2:27">
      <c r="B1764" s="183">
        <f t="shared" si="493"/>
        <v>51</v>
      </c>
      <c r="C1764" s="107" t="str">
        <f t="shared" si="494"/>
        <v>ATK</v>
      </c>
      <c r="D1764" s="2" t="s">
        <v>223</v>
      </c>
      <c r="E1764" s="3">
        <v>44180</v>
      </c>
      <c r="F1764" s="3">
        <v>44180</v>
      </c>
      <c r="G1764" s="108">
        <f t="shared" si="495"/>
        <v>12</v>
      </c>
      <c r="H1764" s="108" t="str">
        <f t="shared" si="496"/>
        <v>완료</v>
      </c>
      <c r="I1764" s="112" t="s">
        <v>218</v>
      </c>
      <c r="J1764" s="4" t="s">
        <v>121</v>
      </c>
      <c r="K1764" s="5" t="s">
        <v>136</v>
      </c>
      <c r="L1764" s="6" t="str">
        <f t="shared" si="507"/>
        <v>5T1</v>
      </c>
      <c r="M1764" s="13" t="s">
        <v>242</v>
      </c>
      <c r="N1764" s="7" t="s">
        <v>4462</v>
      </c>
      <c r="O1764" s="13" t="s">
        <v>1032</v>
      </c>
      <c r="P1764" s="115"/>
      <c r="Q1764" s="8"/>
      <c r="R1764" s="2">
        <v>2</v>
      </c>
      <c r="S1764" s="9">
        <v>400</v>
      </c>
      <c r="T1764" s="10">
        <f t="shared" si="508"/>
        <v>400</v>
      </c>
      <c r="U1764" s="9">
        <v>24</v>
      </c>
      <c r="V1764" s="10">
        <f t="shared" si="509"/>
        <v>376</v>
      </c>
      <c r="W1764" s="4" t="s">
        <v>122</v>
      </c>
      <c r="X1764" s="2"/>
      <c r="Y1764" s="11">
        <v>2</v>
      </c>
      <c r="Z1764" s="12">
        <f t="shared" si="510"/>
        <v>0</v>
      </c>
      <c r="AA1764" s="4" t="s">
        <v>117</v>
      </c>
    </row>
    <row r="1765" spans="2:27">
      <c r="B1765" s="183">
        <f t="shared" si="493"/>
        <v>51</v>
      </c>
      <c r="C1765" s="107" t="str">
        <f t="shared" si="494"/>
        <v>ATK</v>
      </c>
      <c r="D1765" s="2" t="s">
        <v>1655</v>
      </c>
      <c r="E1765" s="3">
        <v>44179</v>
      </c>
      <c r="F1765" s="3">
        <v>44180</v>
      </c>
      <c r="G1765" s="108">
        <f t="shared" si="495"/>
        <v>12</v>
      </c>
      <c r="H1765" s="108" t="str">
        <f t="shared" si="496"/>
        <v>완료</v>
      </c>
      <c r="I1765" s="112" t="s">
        <v>218</v>
      </c>
      <c r="J1765" s="4" t="s">
        <v>127</v>
      </c>
      <c r="K1765" s="5" t="s">
        <v>851</v>
      </c>
      <c r="L1765" s="6" t="str">
        <f t="shared" si="507"/>
        <v>6T1</v>
      </c>
      <c r="M1765" s="13" t="s">
        <v>2377</v>
      </c>
      <c r="N1765" s="7" t="s">
        <v>5528</v>
      </c>
      <c r="O1765" s="13" t="s">
        <v>339</v>
      </c>
      <c r="P1765" s="115" t="s">
        <v>5529</v>
      </c>
      <c r="Q1765" s="8" t="s">
        <v>5530</v>
      </c>
      <c r="R1765" s="2">
        <v>1</v>
      </c>
      <c r="S1765" s="9">
        <v>800</v>
      </c>
      <c r="T1765" s="10">
        <f t="shared" si="508"/>
        <v>400</v>
      </c>
      <c r="U1765" s="9">
        <v>5</v>
      </c>
      <c r="V1765" s="10">
        <f t="shared" si="509"/>
        <v>395</v>
      </c>
      <c r="W1765" s="4" t="s">
        <v>122</v>
      </c>
      <c r="X1765" s="2"/>
      <c r="Y1765" s="11">
        <v>3</v>
      </c>
      <c r="Z1765" s="12">
        <f t="shared" si="510"/>
        <v>1</v>
      </c>
      <c r="AA1765" s="4" t="s">
        <v>120</v>
      </c>
    </row>
    <row r="1766" spans="2:27">
      <c r="B1766" s="183">
        <f t="shared" si="493"/>
        <v>51</v>
      </c>
      <c r="C1766" s="107" t="str">
        <f t="shared" si="494"/>
        <v>ATK</v>
      </c>
      <c r="D1766" s="2" t="s">
        <v>5531</v>
      </c>
      <c r="E1766" s="3">
        <v>44180</v>
      </c>
      <c r="F1766" s="3">
        <v>44180</v>
      </c>
      <c r="G1766" s="108">
        <f t="shared" si="495"/>
        <v>12</v>
      </c>
      <c r="H1766" s="108" t="str">
        <f t="shared" si="496"/>
        <v>완료</v>
      </c>
      <c r="I1766" s="112" t="s">
        <v>264</v>
      </c>
      <c r="J1766" s="4" t="s">
        <v>5532</v>
      </c>
      <c r="K1766" s="5" t="s">
        <v>5532</v>
      </c>
      <c r="L1766" s="6" t="str">
        <f t="shared" si="507"/>
        <v>QA</v>
      </c>
      <c r="M1766" s="13" t="s">
        <v>5533</v>
      </c>
      <c r="N1766" s="7" t="s">
        <v>5534</v>
      </c>
      <c r="O1766" s="13" t="s">
        <v>5535</v>
      </c>
      <c r="P1766" s="115" t="s">
        <v>5536</v>
      </c>
      <c r="Q1766" s="8"/>
      <c r="R1766" s="2">
        <v>1</v>
      </c>
      <c r="S1766" s="9">
        <v>4500</v>
      </c>
      <c r="T1766" s="10">
        <f t="shared" si="508"/>
        <v>2250</v>
      </c>
      <c r="U1766" s="9">
        <v>0</v>
      </c>
      <c r="V1766" s="10">
        <f t="shared" si="509"/>
        <v>2250</v>
      </c>
      <c r="W1766" s="4" t="s">
        <v>5537</v>
      </c>
      <c r="X1766" s="2"/>
      <c r="Y1766" s="11">
        <v>2</v>
      </c>
      <c r="Z1766" s="12">
        <f t="shared" si="510"/>
        <v>0</v>
      </c>
      <c r="AA1766" s="4" t="s">
        <v>5538</v>
      </c>
    </row>
    <row r="1767" spans="2:27">
      <c r="B1767" s="183">
        <f t="shared" si="493"/>
        <v>51</v>
      </c>
      <c r="C1767" s="107" t="str">
        <f t="shared" si="494"/>
        <v>ATK</v>
      </c>
      <c r="D1767" s="2" t="s">
        <v>1215</v>
      </c>
      <c r="E1767" s="3">
        <v>44169</v>
      </c>
      <c r="F1767" s="3">
        <v>44180</v>
      </c>
      <c r="G1767" s="108">
        <f t="shared" si="495"/>
        <v>12</v>
      </c>
      <c r="H1767" s="108" t="str">
        <f t="shared" si="496"/>
        <v>완료</v>
      </c>
      <c r="I1767" s="112" t="s">
        <v>264</v>
      </c>
      <c r="J1767" s="4" t="s">
        <v>756</v>
      </c>
      <c r="K1767" s="5" t="s">
        <v>756</v>
      </c>
      <c r="L1767" s="6" t="str">
        <f t="shared" si="507"/>
        <v>QA</v>
      </c>
      <c r="M1767" s="13" t="s">
        <v>3014</v>
      </c>
      <c r="N1767" s="7" t="s">
        <v>3912</v>
      </c>
      <c r="O1767" s="13" t="s">
        <v>3031</v>
      </c>
      <c r="P1767" s="115" t="s">
        <v>5539</v>
      </c>
      <c r="Q1767" s="8" t="s">
        <v>3034</v>
      </c>
      <c r="R1767" s="2">
        <v>1</v>
      </c>
      <c r="S1767" s="9">
        <v>500</v>
      </c>
      <c r="T1767" s="10">
        <f t="shared" si="508"/>
        <v>250</v>
      </c>
      <c r="U1767" s="9">
        <v>2</v>
      </c>
      <c r="V1767" s="10">
        <f t="shared" si="509"/>
        <v>248</v>
      </c>
      <c r="W1767" s="4" t="s">
        <v>249</v>
      </c>
      <c r="X1767" s="2"/>
      <c r="Y1767" s="11">
        <v>4</v>
      </c>
      <c r="Z1767" s="12">
        <f t="shared" si="510"/>
        <v>11</v>
      </c>
      <c r="AA1767" s="4" t="s">
        <v>44</v>
      </c>
    </row>
    <row r="1768" spans="2:27">
      <c r="B1768" s="183">
        <f t="shared" si="493"/>
        <v>51</v>
      </c>
      <c r="C1768" s="107" t="str">
        <f t="shared" si="494"/>
        <v>ATK</v>
      </c>
      <c r="D1768" s="2" t="s">
        <v>5540</v>
      </c>
      <c r="E1768" s="3">
        <v>44180</v>
      </c>
      <c r="F1768" s="3">
        <v>44180</v>
      </c>
      <c r="G1768" s="108">
        <f t="shared" si="495"/>
        <v>12</v>
      </c>
      <c r="H1768" s="108" t="str">
        <f t="shared" si="496"/>
        <v>완료</v>
      </c>
      <c r="I1768" s="112" t="s">
        <v>218</v>
      </c>
      <c r="J1768" s="4" t="s">
        <v>115</v>
      </c>
      <c r="K1768" s="5" t="s">
        <v>138</v>
      </c>
      <c r="L1768" s="6" t="str">
        <f t="shared" si="507"/>
        <v>EE1</v>
      </c>
      <c r="M1768" s="13" t="s">
        <v>216</v>
      </c>
      <c r="N1768" s="7" t="s">
        <v>314</v>
      </c>
      <c r="O1768" s="13" t="s">
        <v>5541</v>
      </c>
      <c r="P1768" s="115" t="s">
        <v>5542</v>
      </c>
      <c r="Q1768" s="8"/>
      <c r="R1768" s="2">
        <v>1</v>
      </c>
      <c r="S1768" s="9">
        <v>7400</v>
      </c>
      <c r="T1768" s="10">
        <f t="shared" si="508"/>
        <v>3700</v>
      </c>
      <c r="U1768" s="9">
        <v>8</v>
      </c>
      <c r="V1768" s="10">
        <f t="shared" si="509"/>
        <v>3692</v>
      </c>
      <c r="W1768" s="4" t="s">
        <v>122</v>
      </c>
      <c r="X1768" s="2"/>
      <c r="Y1768" s="11">
        <v>2</v>
      </c>
      <c r="Z1768" s="12">
        <f t="shared" si="510"/>
        <v>0</v>
      </c>
      <c r="AA1768" s="4" t="s">
        <v>117</v>
      </c>
    </row>
    <row r="1769" spans="2:27">
      <c r="B1769" s="183">
        <f t="shared" si="493"/>
        <v>51</v>
      </c>
      <c r="C1769" s="107" t="str">
        <f t="shared" si="494"/>
        <v>ATK</v>
      </c>
      <c r="D1769" s="2" t="s">
        <v>312</v>
      </c>
      <c r="E1769" s="3">
        <v>44179</v>
      </c>
      <c r="F1769" s="3">
        <v>44183</v>
      </c>
      <c r="G1769" s="108">
        <f t="shared" si="495"/>
        <v>12</v>
      </c>
      <c r="H1769" s="108" t="str">
        <f t="shared" si="496"/>
        <v>완료</v>
      </c>
      <c r="I1769" s="112" t="s">
        <v>218</v>
      </c>
      <c r="J1769" s="4" t="s">
        <v>481</v>
      </c>
      <c r="K1769" s="5" t="s">
        <v>695</v>
      </c>
      <c r="L1769" s="6" t="str">
        <f t="shared" si="507"/>
        <v>2T2</v>
      </c>
      <c r="M1769" s="13" t="s">
        <v>256</v>
      </c>
      <c r="N1769" s="7" t="s">
        <v>5438</v>
      </c>
      <c r="O1769" s="13" t="s">
        <v>370</v>
      </c>
      <c r="P1769" s="115" t="s">
        <v>5543</v>
      </c>
      <c r="Q1769" s="8"/>
      <c r="R1769" s="2">
        <v>2</v>
      </c>
      <c r="S1769" s="9">
        <v>1600</v>
      </c>
      <c r="T1769" s="10">
        <f t="shared" si="508"/>
        <v>1600</v>
      </c>
      <c r="U1769" s="9">
        <v>20</v>
      </c>
      <c r="V1769" s="10">
        <f t="shared" si="509"/>
        <v>1580</v>
      </c>
      <c r="W1769" s="4" t="s">
        <v>122</v>
      </c>
      <c r="X1769" s="2"/>
      <c r="Y1769" s="11">
        <v>8</v>
      </c>
      <c r="Z1769" s="12">
        <f t="shared" si="510"/>
        <v>4</v>
      </c>
      <c r="AA1769" s="4" t="s">
        <v>27</v>
      </c>
    </row>
    <row r="1770" spans="2:27">
      <c r="B1770" s="183">
        <f t="shared" si="493"/>
        <v>51</v>
      </c>
      <c r="C1770" s="107" t="str">
        <f t="shared" si="494"/>
        <v>ATK</v>
      </c>
      <c r="D1770" s="2" t="s">
        <v>3293</v>
      </c>
      <c r="E1770" s="3">
        <v>44180</v>
      </c>
      <c r="F1770" s="3">
        <v>44180</v>
      </c>
      <c r="G1770" s="108">
        <f t="shared" si="495"/>
        <v>12</v>
      </c>
      <c r="H1770" s="108" t="str">
        <f t="shared" si="496"/>
        <v>Other</v>
      </c>
      <c r="I1770" s="112" t="s">
        <v>31</v>
      </c>
      <c r="J1770" s="4" t="s">
        <v>31</v>
      </c>
      <c r="K1770" s="5" t="s">
        <v>31</v>
      </c>
      <c r="L1770" s="6" t="str">
        <f t="shared" si="507"/>
        <v>Oth</v>
      </c>
      <c r="M1770" s="13" t="s">
        <v>3293</v>
      </c>
      <c r="N1770" s="7" t="s">
        <v>5191</v>
      </c>
      <c r="O1770" s="13" t="s">
        <v>226</v>
      </c>
      <c r="P1770" s="115" t="s">
        <v>5545</v>
      </c>
      <c r="Q1770" s="8"/>
      <c r="R1770" s="2">
        <v>1</v>
      </c>
      <c r="S1770" s="9">
        <v>0</v>
      </c>
      <c r="T1770" s="10">
        <f t="shared" si="508"/>
        <v>0</v>
      </c>
      <c r="U1770" s="9">
        <v>0</v>
      </c>
      <c r="V1770" s="10">
        <f t="shared" si="509"/>
        <v>0</v>
      </c>
      <c r="W1770" s="4" t="s">
        <v>249</v>
      </c>
      <c r="X1770" s="2"/>
      <c r="Y1770" s="11">
        <v>1</v>
      </c>
      <c r="Z1770" s="12">
        <f t="shared" si="510"/>
        <v>0</v>
      </c>
      <c r="AA1770" s="4" t="s">
        <v>30</v>
      </c>
    </row>
    <row r="1771" spans="2:27">
      <c r="B1771" s="183">
        <f t="shared" si="493"/>
        <v>51</v>
      </c>
      <c r="C1771" s="107" t="str">
        <f t="shared" si="494"/>
        <v>ATK</v>
      </c>
      <c r="D1771" s="2" t="s">
        <v>3293</v>
      </c>
      <c r="E1771" s="3">
        <v>44180</v>
      </c>
      <c r="F1771" s="3">
        <v>44180</v>
      </c>
      <c r="G1771" s="108">
        <f t="shared" si="495"/>
        <v>12</v>
      </c>
      <c r="H1771" s="108" t="str">
        <f t="shared" si="496"/>
        <v>Other</v>
      </c>
      <c r="I1771" s="112" t="s">
        <v>251</v>
      </c>
      <c r="J1771" s="4" t="s">
        <v>31</v>
      </c>
      <c r="K1771" s="5" t="s">
        <v>31</v>
      </c>
      <c r="L1771" s="6" t="str">
        <f t="shared" si="507"/>
        <v>Oth</v>
      </c>
      <c r="M1771" s="13" t="s">
        <v>3293</v>
      </c>
      <c r="N1771" s="7" t="s">
        <v>5191</v>
      </c>
      <c r="O1771" s="13" t="s">
        <v>226</v>
      </c>
      <c r="P1771" s="115" t="s">
        <v>5545</v>
      </c>
      <c r="Q1771" s="8"/>
      <c r="R1771" s="2">
        <v>1</v>
      </c>
      <c r="S1771" s="9">
        <v>0</v>
      </c>
      <c r="T1771" s="10">
        <f t="shared" si="508"/>
        <v>0</v>
      </c>
      <c r="U1771" s="9">
        <v>0</v>
      </c>
      <c r="V1771" s="10">
        <f t="shared" si="509"/>
        <v>0</v>
      </c>
      <c r="W1771" s="4" t="s">
        <v>249</v>
      </c>
      <c r="X1771" s="2"/>
      <c r="Y1771" s="11">
        <v>1</v>
      </c>
      <c r="Z1771" s="12">
        <f t="shared" si="510"/>
        <v>0</v>
      </c>
      <c r="AA1771" s="4" t="s">
        <v>174</v>
      </c>
    </row>
    <row r="1772" spans="2:27">
      <c r="B1772" s="183">
        <f t="shared" si="493"/>
        <v>51</v>
      </c>
      <c r="C1772" s="107" t="str">
        <f t="shared" si="494"/>
        <v>ATK</v>
      </c>
      <c r="D1772" s="2" t="s">
        <v>3293</v>
      </c>
      <c r="E1772" s="3">
        <v>44181</v>
      </c>
      <c r="F1772" s="3">
        <v>44181</v>
      </c>
      <c r="G1772" s="108">
        <f t="shared" si="495"/>
        <v>12</v>
      </c>
      <c r="H1772" s="108" t="str">
        <f t="shared" si="496"/>
        <v>Other</v>
      </c>
      <c r="I1772" s="112" t="s">
        <v>31</v>
      </c>
      <c r="J1772" s="4" t="s">
        <v>31</v>
      </c>
      <c r="K1772" s="5" t="s">
        <v>31</v>
      </c>
      <c r="L1772" s="6" t="str">
        <f t="shared" ref="L1772:L1773" si="528">LEFT(K1772,3)</f>
        <v>Oth</v>
      </c>
      <c r="M1772" s="13" t="s">
        <v>3293</v>
      </c>
      <c r="N1772" s="7" t="s">
        <v>5191</v>
      </c>
      <c r="O1772" s="13" t="s">
        <v>226</v>
      </c>
      <c r="P1772" s="115" t="s">
        <v>5546</v>
      </c>
      <c r="Q1772" s="8"/>
      <c r="R1772" s="2">
        <v>1</v>
      </c>
      <c r="S1772" s="9">
        <v>0</v>
      </c>
      <c r="T1772" s="10">
        <f t="shared" ref="T1772:T1773" si="529">(S1772*50)/100*R1772</f>
        <v>0</v>
      </c>
      <c r="U1772" s="9">
        <v>0</v>
      </c>
      <c r="V1772" s="10">
        <f t="shared" ref="V1772:V1773" si="530">T1772-U1772</f>
        <v>0</v>
      </c>
      <c r="W1772" s="4" t="s">
        <v>249</v>
      </c>
      <c r="X1772" s="2"/>
      <c r="Y1772" s="11">
        <v>1</v>
      </c>
      <c r="Z1772" s="12">
        <f t="shared" ref="Z1772:Z1773" si="531">F1772-E1772</f>
        <v>0</v>
      </c>
      <c r="AA1772" s="4" t="s">
        <v>30</v>
      </c>
    </row>
    <row r="1773" spans="2:27">
      <c r="B1773" s="183">
        <f t="shared" si="493"/>
        <v>51</v>
      </c>
      <c r="C1773" s="107" t="str">
        <f t="shared" si="494"/>
        <v>ATK</v>
      </c>
      <c r="D1773" s="2" t="s">
        <v>3293</v>
      </c>
      <c r="E1773" s="3">
        <v>44181</v>
      </c>
      <c r="F1773" s="3">
        <v>44181</v>
      </c>
      <c r="G1773" s="108">
        <f t="shared" si="495"/>
        <v>12</v>
      </c>
      <c r="H1773" s="108" t="str">
        <f t="shared" si="496"/>
        <v>Other</v>
      </c>
      <c r="I1773" s="112" t="s">
        <v>251</v>
      </c>
      <c r="J1773" s="4" t="s">
        <v>31</v>
      </c>
      <c r="K1773" s="5" t="s">
        <v>31</v>
      </c>
      <c r="L1773" s="6" t="str">
        <f t="shared" si="528"/>
        <v>Oth</v>
      </c>
      <c r="M1773" s="13" t="s">
        <v>3293</v>
      </c>
      <c r="N1773" s="7" t="s">
        <v>5191</v>
      </c>
      <c r="O1773" s="13" t="s">
        <v>226</v>
      </c>
      <c r="P1773" s="115" t="s">
        <v>5546</v>
      </c>
      <c r="Q1773" s="8"/>
      <c r="R1773" s="2">
        <v>1</v>
      </c>
      <c r="S1773" s="9">
        <v>0</v>
      </c>
      <c r="T1773" s="10">
        <f t="shared" si="529"/>
        <v>0</v>
      </c>
      <c r="U1773" s="9">
        <v>0</v>
      </c>
      <c r="V1773" s="10">
        <f t="shared" si="530"/>
        <v>0</v>
      </c>
      <c r="W1773" s="4" t="s">
        <v>249</v>
      </c>
      <c r="X1773" s="2"/>
      <c r="Y1773" s="11">
        <v>1</v>
      </c>
      <c r="Z1773" s="12">
        <f t="shared" si="531"/>
        <v>0</v>
      </c>
      <c r="AA1773" s="4" t="s">
        <v>174</v>
      </c>
    </row>
    <row r="1774" spans="2:27">
      <c r="B1774" s="183">
        <f t="shared" si="493"/>
        <v>52</v>
      </c>
      <c r="C1774" s="107" t="str">
        <f t="shared" si="494"/>
        <v>ATK</v>
      </c>
      <c r="D1774" s="2" t="s">
        <v>223</v>
      </c>
      <c r="E1774" s="3">
        <v>44181</v>
      </c>
      <c r="F1774" s="3">
        <v>44186</v>
      </c>
      <c r="G1774" s="108">
        <f t="shared" si="495"/>
        <v>12</v>
      </c>
      <c r="H1774" s="108" t="str">
        <f t="shared" si="496"/>
        <v>완료</v>
      </c>
      <c r="I1774" s="112" t="s">
        <v>218</v>
      </c>
      <c r="J1774" s="4" t="s">
        <v>121</v>
      </c>
      <c r="K1774" s="5" t="s">
        <v>136</v>
      </c>
      <c r="L1774" s="6" t="str">
        <f t="shared" si="507"/>
        <v>5T1</v>
      </c>
      <c r="M1774" s="13" t="s">
        <v>242</v>
      </c>
      <c r="N1774" s="7" t="s">
        <v>5547</v>
      </c>
      <c r="O1774" s="13" t="s">
        <v>5548</v>
      </c>
      <c r="P1774" s="115" t="s">
        <v>5596</v>
      </c>
      <c r="Q1774" s="8"/>
      <c r="R1774" s="2">
        <v>1</v>
      </c>
      <c r="S1774" s="9">
        <v>2100</v>
      </c>
      <c r="T1774" s="10">
        <f t="shared" si="508"/>
        <v>1050</v>
      </c>
      <c r="U1774" s="9">
        <v>0</v>
      </c>
      <c r="V1774" s="10">
        <f t="shared" si="509"/>
        <v>1050</v>
      </c>
      <c r="W1774" s="4" t="s">
        <v>122</v>
      </c>
      <c r="X1774" s="2"/>
      <c r="Y1774" s="11">
        <v>4</v>
      </c>
      <c r="Z1774" s="12">
        <f t="shared" si="510"/>
        <v>5</v>
      </c>
      <c r="AA1774" s="4" t="s">
        <v>120</v>
      </c>
    </row>
    <row r="1775" spans="2:27">
      <c r="B1775" s="183">
        <f t="shared" si="493"/>
        <v>51</v>
      </c>
      <c r="C1775" s="107" t="str">
        <f t="shared" si="494"/>
        <v>ATK</v>
      </c>
      <c r="D1775" s="2" t="s">
        <v>5549</v>
      </c>
      <c r="E1775" s="3">
        <v>44181</v>
      </c>
      <c r="F1775" s="3">
        <v>44181</v>
      </c>
      <c r="G1775" s="108">
        <f t="shared" si="495"/>
        <v>12</v>
      </c>
      <c r="H1775" s="108" t="str">
        <f t="shared" si="496"/>
        <v>완료</v>
      </c>
      <c r="I1775" s="112" t="s">
        <v>218</v>
      </c>
      <c r="J1775" s="4" t="s">
        <v>748</v>
      </c>
      <c r="K1775" s="5" t="s">
        <v>177</v>
      </c>
      <c r="L1775" s="6" t="str">
        <f t="shared" si="507"/>
        <v>Bum</v>
      </c>
      <c r="M1775" s="13"/>
      <c r="N1775" s="7" t="s">
        <v>5550</v>
      </c>
      <c r="O1775" s="13" t="s">
        <v>5551</v>
      </c>
      <c r="P1775" s="115"/>
      <c r="Q1775" s="8"/>
      <c r="R1775" s="2">
        <v>1</v>
      </c>
      <c r="S1775" s="9">
        <v>25000</v>
      </c>
      <c r="T1775" s="10">
        <f t="shared" si="508"/>
        <v>12500</v>
      </c>
      <c r="U1775" s="9">
        <v>70</v>
      </c>
      <c r="V1775" s="10">
        <f t="shared" si="509"/>
        <v>12430</v>
      </c>
      <c r="W1775" s="4" t="s">
        <v>122</v>
      </c>
      <c r="X1775" s="2"/>
      <c r="Y1775" s="11">
        <v>5</v>
      </c>
      <c r="Z1775" s="12">
        <f t="shared" si="510"/>
        <v>0</v>
      </c>
      <c r="AA1775" s="4" t="s">
        <v>117</v>
      </c>
    </row>
    <row r="1776" spans="2:27">
      <c r="B1776" s="183">
        <f t="shared" si="493"/>
        <v>51</v>
      </c>
      <c r="C1776" s="107" t="str">
        <f t="shared" si="494"/>
        <v>ATK</v>
      </c>
      <c r="D1776" s="2" t="s">
        <v>5555</v>
      </c>
      <c r="E1776" s="3">
        <v>44180</v>
      </c>
      <c r="F1776" s="3">
        <v>44181</v>
      </c>
      <c r="G1776" s="108">
        <f t="shared" si="495"/>
        <v>12</v>
      </c>
      <c r="H1776" s="108" t="str">
        <f t="shared" si="496"/>
        <v>완료</v>
      </c>
      <c r="I1776" s="112" t="s">
        <v>218</v>
      </c>
      <c r="J1776" s="4" t="s">
        <v>115</v>
      </c>
      <c r="K1776" s="5" t="s">
        <v>138</v>
      </c>
      <c r="L1776" s="6" t="str">
        <f t="shared" si="507"/>
        <v>EE1</v>
      </c>
      <c r="M1776" s="13" t="s">
        <v>5552</v>
      </c>
      <c r="N1776" s="7" t="s">
        <v>5553</v>
      </c>
      <c r="O1776" s="7" t="s">
        <v>5553</v>
      </c>
      <c r="P1776" s="115" t="s">
        <v>5554</v>
      </c>
      <c r="Q1776" s="8"/>
      <c r="R1776" s="2">
        <v>1</v>
      </c>
      <c r="S1776" s="9">
        <v>1000</v>
      </c>
      <c r="T1776" s="10">
        <f t="shared" si="508"/>
        <v>500</v>
      </c>
      <c r="U1776" s="9">
        <v>0</v>
      </c>
      <c r="V1776" s="10">
        <f t="shared" si="509"/>
        <v>500</v>
      </c>
      <c r="W1776" s="4" t="s">
        <v>122</v>
      </c>
      <c r="X1776" s="2"/>
      <c r="Y1776" s="11">
        <v>1</v>
      </c>
      <c r="Z1776" s="12">
        <f t="shared" si="510"/>
        <v>1</v>
      </c>
      <c r="AA1776" s="4" t="s">
        <v>212</v>
      </c>
    </row>
    <row r="1777" spans="2:30">
      <c r="B1777" s="183">
        <f t="shared" si="493"/>
        <v>51</v>
      </c>
      <c r="C1777" s="107" t="str">
        <f t="shared" si="494"/>
        <v>ATK</v>
      </c>
      <c r="D1777" s="2" t="s">
        <v>5556</v>
      </c>
      <c r="E1777" s="3">
        <v>44182</v>
      </c>
      <c r="F1777" s="3">
        <v>44183</v>
      </c>
      <c r="G1777" s="108">
        <f t="shared" si="495"/>
        <v>12</v>
      </c>
      <c r="H1777" s="108" t="str">
        <f t="shared" si="496"/>
        <v>완료</v>
      </c>
      <c r="I1777" s="112" t="s">
        <v>218</v>
      </c>
      <c r="J1777" s="4" t="s">
        <v>243</v>
      </c>
      <c r="K1777" s="5" t="s">
        <v>243</v>
      </c>
      <c r="L1777" s="6" t="str">
        <f t="shared" si="507"/>
        <v>K5</v>
      </c>
      <c r="M1777" s="13" t="s">
        <v>5557</v>
      </c>
      <c r="N1777" s="7" t="s">
        <v>4581</v>
      </c>
      <c r="O1777" s="13" t="s">
        <v>5558</v>
      </c>
      <c r="P1777" s="115" t="s">
        <v>5574</v>
      </c>
      <c r="Q1777" s="8"/>
      <c r="R1777" s="2">
        <v>2</v>
      </c>
      <c r="S1777" s="9">
        <v>900</v>
      </c>
      <c r="T1777" s="10">
        <f t="shared" si="508"/>
        <v>900</v>
      </c>
      <c r="U1777" s="9">
        <v>60</v>
      </c>
      <c r="V1777" s="10">
        <f t="shared" si="509"/>
        <v>840</v>
      </c>
      <c r="W1777" s="4" t="s">
        <v>122</v>
      </c>
      <c r="X1777" s="2"/>
      <c r="Y1777" s="11">
        <v>10</v>
      </c>
      <c r="Z1777" s="12">
        <f t="shared" si="510"/>
        <v>1</v>
      </c>
      <c r="AA1777" s="4" t="s">
        <v>212</v>
      </c>
    </row>
    <row r="1778" spans="2:30">
      <c r="B1778" s="183">
        <f t="shared" si="493"/>
        <v>51</v>
      </c>
      <c r="C1778" s="107" t="str">
        <f t="shared" si="494"/>
        <v>ATK</v>
      </c>
      <c r="D1778" s="2" t="s">
        <v>5559</v>
      </c>
      <c r="E1778" s="3">
        <v>44182</v>
      </c>
      <c r="F1778" s="3">
        <v>44182</v>
      </c>
      <c r="G1778" s="108">
        <f t="shared" si="495"/>
        <v>12</v>
      </c>
      <c r="H1778" s="108" t="str">
        <f t="shared" si="496"/>
        <v>완료</v>
      </c>
      <c r="I1778" s="112" t="s">
        <v>218</v>
      </c>
      <c r="J1778" s="4" t="s">
        <v>243</v>
      </c>
      <c r="K1778" s="5" t="s">
        <v>243</v>
      </c>
      <c r="L1778" s="6" t="str">
        <f t="shared" si="507"/>
        <v>K5</v>
      </c>
      <c r="M1778" s="13" t="s">
        <v>705</v>
      </c>
      <c r="N1778" s="7" t="s">
        <v>5560</v>
      </c>
      <c r="O1778" s="13" t="s">
        <v>5561</v>
      </c>
      <c r="P1778" s="115" t="s">
        <v>5562</v>
      </c>
      <c r="Q1778" s="8"/>
      <c r="R1778" s="2">
        <v>1</v>
      </c>
      <c r="S1778" s="9">
        <v>2200</v>
      </c>
      <c r="T1778" s="10">
        <f t="shared" si="508"/>
        <v>1100</v>
      </c>
      <c r="U1778" s="9">
        <v>5</v>
      </c>
      <c r="V1778" s="10">
        <f t="shared" si="509"/>
        <v>1095</v>
      </c>
      <c r="W1778" s="4" t="s">
        <v>122</v>
      </c>
      <c r="X1778" s="2"/>
      <c r="Y1778" s="11">
        <v>2</v>
      </c>
      <c r="Z1778" s="12">
        <f t="shared" si="510"/>
        <v>0</v>
      </c>
      <c r="AA1778" s="4" t="s">
        <v>117</v>
      </c>
    </row>
    <row r="1779" spans="2:30">
      <c r="B1779" s="183">
        <f t="shared" si="493"/>
        <v>51</v>
      </c>
      <c r="C1779" s="107" t="str">
        <f t="shared" si="494"/>
        <v>ATK</v>
      </c>
      <c r="D1779" s="2" t="s">
        <v>453</v>
      </c>
      <c r="E1779" s="3">
        <v>44181</v>
      </c>
      <c r="F1779" s="3">
        <v>44182</v>
      </c>
      <c r="G1779" s="108">
        <f t="shared" si="495"/>
        <v>12</v>
      </c>
      <c r="H1779" s="108" t="str">
        <f t="shared" si="496"/>
        <v>완료</v>
      </c>
      <c r="I1779" s="112" t="s">
        <v>218</v>
      </c>
      <c r="J1779" s="4" t="s">
        <v>118</v>
      </c>
      <c r="K1779" s="5" t="s">
        <v>134</v>
      </c>
      <c r="L1779" s="6" t="str">
        <f t="shared" si="507"/>
        <v>2T1</v>
      </c>
      <c r="M1779" s="13" t="s">
        <v>4422</v>
      </c>
      <c r="N1779" s="7" t="s">
        <v>4422</v>
      </c>
      <c r="O1779" s="13" t="s">
        <v>225</v>
      </c>
      <c r="P1779" s="115" t="s">
        <v>5563</v>
      </c>
      <c r="Q1779" s="8"/>
      <c r="R1779" s="2">
        <v>1</v>
      </c>
      <c r="S1779" s="9">
        <v>5000</v>
      </c>
      <c r="T1779" s="10">
        <f t="shared" si="508"/>
        <v>2500</v>
      </c>
      <c r="U1779" s="9">
        <v>100</v>
      </c>
      <c r="V1779" s="10">
        <f t="shared" si="509"/>
        <v>2400</v>
      </c>
      <c r="W1779" s="4" t="s">
        <v>122</v>
      </c>
      <c r="X1779" s="2"/>
      <c r="Y1779" s="11">
        <v>4</v>
      </c>
      <c r="Z1779" s="12">
        <f t="shared" si="510"/>
        <v>1</v>
      </c>
      <c r="AA1779" s="4" t="s">
        <v>27</v>
      </c>
    </row>
    <row r="1780" spans="2:30">
      <c r="B1780" s="183">
        <f t="shared" si="493"/>
        <v>51</v>
      </c>
      <c r="C1780" s="107" t="str">
        <f t="shared" si="494"/>
        <v>ATK</v>
      </c>
      <c r="D1780" s="2" t="s">
        <v>463</v>
      </c>
      <c r="E1780" s="3">
        <v>44182</v>
      </c>
      <c r="F1780" s="3">
        <v>44182</v>
      </c>
      <c r="G1780" s="108">
        <f t="shared" si="495"/>
        <v>12</v>
      </c>
      <c r="H1780" s="108" t="str">
        <f t="shared" si="496"/>
        <v>완료</v>
      </c>
      <c r="I1780" s="112" t="s">
        <v>218</v>
      </c>
      <c r="J1780" s="4" t="s">
        <v>121</v>
      </c>
      <c r="K1780" s="5" t="s">
        <v>136</v>
      </c>
      <c r="L1780" s="6" t="str">
        <f t="shared" si="507"/>
        <v>5T1</v>
      </c>
      <c r="M1780" s="13" t="s">
        <v>5214</v>
      </c>
      <c r="N1780" s="7" t="s">
        <v>4684</v>
      </c>
      <c r="O1780" s="13" t="s">
        <v>4192</v>
      </c>
      <c r="P1780" s="115" t="s">
        <v>5565</v>
      </c>
      <c r="Q1780" s="8" t="s">
        <v>5564</v>
      </c>
      <c r="R1780" s="2">
        <v>1</v>
      </c>
      <c r="S1780" s="9">
        <v>4000</v>
      </c>
      <c r="T1780" s="10">
        <f t="shared" si="508"/>
        <v>2000</v>
      </c>
      <c r="U1780" s="9">
        <v>3</v>
      </c>
      <c r="V1780" s="10">
        <f t="shared" si="509"/>
        <v>1997</v>
      </c>
      <c r="W1780" s="4" t="s">
        <v>122</v>
      </c>
      <c r="X1780" s="2"/>
      <c r="Y1780" s="11">
        <v>2</v>
      </c>
      <c r="Z1780" s="12">
        <f t="shared" si="510"/>
        <v>0</v>
      </c>
      <c r="AA1780" s="4" t="s">
        <v>117</v>
      </c>
    </row>
    <row r="1781" spans="2:30">
      <c r="B1781" s="183">
        <f t="shared" si="493"/>
        <v>51</v>
      </c>
      <c r="C1781" s="107" t="str">
        <f t="shared" si="494"/>
        <v>ATK</v>
      </c>
      <c r="D1781" s="2" t="s">
        <v>3293</v>
      </c>
      <c r="E1781" s="3">
        <v>44182</v>
      </c>
      <c r="F1781" s="3">
        <v>44182</v>
      </c>
      <c r="G1781" s="108">
        <f t="shared" si="495"/>
        <v>12</v>
      </c>
      <c r="H1781" s="108" t="str">
        <f t="shared" si="496"/>
        <v>Other</v>
      </c>
      <c r="I1781" s="112" t="s">
        <v>31</v>
      </c>
      <c r="J1781" s="4" t="s">
        <v>31</v>
      </c>
      <c r="K1781" s="5" t="s">
        <v>31</v>
      </c>
      <c r="L1781" s="6" t="str">
        <f t="shared" si="507"/>
        <v>Oth</v>
      </c>
      <c r="M1781" s="13" t="s">
        <v>3293</v>
      </c>
      <c r="N1781" s="7" t="s">
        <v>5191</v>
      </c>
      <c r="O1781" s="13" t="s">
        <v>226</v>
      </c>
      <c r="P1781" s="115" t="s">
        <v>5566</v>
      </c>
      <c r="Q1781" s="8"/>
      <c r="R1781" s="2">
        <v>1</v>
      </c>
      <c r="S1781" s="9">
        <v>0</v>
      </c>
      <c r="T1781" s="10">
        <f t="shared" si="508"/>
        <v>0</v>
      </c>
      <c r="U1781" s="9">
        <v>0</v>
      </c>
      <c r="V1781" s="10">
        <f t="shared" si="509"/>
        <v>0</v>
      </c>
      <c r="W1781" s="4" t="s">
        <v>249</v>
      </c>
      <c r="X1781" s="2"/>
      <c r="Y1781" s="11">
        <v>1</v>
      </c>
      <c r="Z1781" s="12">
        <f t="shared" si="510"/>
        <v>0</v>
      </c>
      <c r="AA1781" s="4" t="s">
        <v>30</v>
      </c>
    </row>
    <row r="1782" spans="2:30">
      <c r="B1782" s="183">
        <f t="shared" ref="B1782:B1823" si="532">IF(F1782&gt;0,IFERROR(WEEKNUM(F1782),""),"")</f>
        <v>51</v>
      </c>
      <c r="C1782" s="107" t="str">
        <f t="shared" ref="C1782:C1823" si="533">IF(D1782=0,"",(IF(LEFT(D1782,3)="ATK","ATK",IF(LEFT(D1782,2)="AT",D1782,"ATK"))))</f>
        <v>ATK</v>
      </c>
      <c r="D1782" s="2" t="s">
        <v>3293</v>
      </c>
      <c r="E1782" s="3">
        <v>44182</v>
      </c>
      <c r="F1782" s="3">
        <v>44182</v>
      </c>
      <c r="G1782" s="108">
        <f t="shared" ref="G1782:G1823" si="534">IF(F1782&gt;0,MONTH(F1782),"")</f>
        <v>12</v>
      </c>
      <c r="H1782" s="108" t="str">
        <f t="shared" ref="H1782:H1823" si="535">IF(I1782=0,"",IF(RIGHT(I1782,2)="완료","완료",IF(RIGHT(I1782,2)="불가","수리불가",IF(RIGHT(I1782,1)="중","수리중","Other"))))</f>
        <v>Other</v>
      </c>
      <c r="I1782" s="112" t="s">
        <v>251</v>
      </c>
      <c r="J1782" s="4" t="s">
        <v>31</v>
      </c>
      <c r="K1782" s="5" t="s">
        <v>31</v>
      </c>
      <c r="L1782" s="6" t="str">
        <f t="shared" si="507"/>
        <v>Oth</v>
      </c>
      <c r="M1782" s="13" t="s">
        <v>3293</v>
      </c>
      <c r="N1782" s="7" t="s">
        <v>5191</v>
      </c>
      <c r="O1782" s="13" t="s">
        <v>226</v>
      </c>
      <c r="P1782" s="115" t="s">
        <v>5566</v>
      </c>
      <c r="Q1782" s="8"/>
      <c r="R1782" s="2">
        <v>1</v>
      </c>
      <c r="S1782" s="9">
        <v>0</v>
      </c>
      <c r="T1782" s="10">
        <f t="shared" si="508"/>
        <v>0</v>
      </c>
      <c r="U1782" s="9">
        <v>0</v>
      </c>
      <c r="V1782" s="10">
        <f t="shared" si="509"/>
        <v>0</v>
      </c>
      <c r="W1782" s="4" t="s">
        <v>249</v>
      </c>
      <c r="X1782" s="2"/>
      <c r="Y1782" s="11">
        <v>1</v>
      </c>
      <c r="Z1782" s="12">
        <f t="shared" si="510"/>
        <v>0</v>
      </c>
      <c r="AA1782" s="4" t="s">
        <v>174</v>
      </c>
    </row>
    <row r="1783" spans="2:30">
      <c r="B1783" s="183">
        <f t="shared" si="532"/>
        <v>52</v>
      </c>
      <c r="C1783" s="107" t="str">
        <f t="shared" si="533"/>
        <v>ATK</v>
      </c>
      <c r="D1783" s="2" t="s">
        <v>677</v>
      </c>
      <c r="E1783" s="3">
        <v>44182</v>
      </c>
      <c r="F1783" s="3">
        <v>44186</v>
      </c>
      <c r="G1783" s="108">
        <f t="shared" si="534"/>
        <v>12</v>
      </c>
      <c r="H1783" s="108" t="str">
        <f t="shared" si="535"/>
        <v>수리불가</v>
      </c>
      <c r="I1783" s="112" t="s">
        <v>601</v>
      </c>
      <c r="J1783" s="4" t="s">
        <v>127</v>
      </c>
      <c r="K1783" s="5" t="s">
        <v>209</v>
      </c>
      <c r="L1783" s="6" t="str">
        <f t="shared" si="507"/>
        <v>1T2</v>
      </c>
      <c r="M1783" s="13" t="s">
        <v>5568</v>
      </c>
      <c r="N1783" s="7" t="s">
        <v>5567</v>
      </c>
      <c r="O1783" s="13" t="s">
        <v>5569</v>
      </c>
      <c r="P1783" s="115" t="s">
        <v>5570</v>
      </c>
      <c r="Q1783" s="8" t="s">
        <v>5571</v>
      </c>
      <c r="R1783" s="2">
        <v>1</v>
      </c>
      <c r="S1783" s="9">
        <v>4500</v>
      </c>
      <c r="T1783" s="10">
        <f t="shared" si="508"/>
        <v>2250</v>
      </c>
      <c r="U1783" s="9">
        <v>0</v>
      </c>
      <c r="V1783" s="10">
        <f t="shared" si="509"/>
        <v>2250</v>
      </c>
      <c r="W1783" s="4" t="s">
        <v>122</v>
      </c>
      <c r="X1783" s="2"/>
      <c r="Y1783" s="11">
        <v>8</v>
      </c>
      <c r="Z1783" s="12">
        <f t="shared" si="510"/>
        <v>4</v>
      </c>
      <c r="AA1783" s="4" t="s">
        <v>120</v>
      </c>
    </row>
    <row r="1784" spans="2:30">
      <c r="B1784" s="183">
        <f t="shared" si="532"/>
        <v>51</v>
      </c>
      <c r="C1784" s="107" t="str">
        <f t="shared" si="533"/>
        <v>ATK</v>
      </c>
      <c r="D1784" s="2" t="s">
        <v>5352</v>
      </c>
      <c r="E1784" s="3">
        <v>44182</v>
      </c>
      <c r="F1784" s="3">
        <v>44183</v>
      </c>
      <c r="G1784" s="108">
        <f t="shared" si="534"/>
        <v>12</v>
      </c>
      <c r="H1784" s="108" t="str">
        <f t="shared" si="535"/>
        <v>완료</v>
      </c>
      <c r="I1784" s="112" t="s">
        <v>218</v>
      </c>
      <c r="J1784" s="4" t="s">
        <v>748</v>
      </c>
      <c r="K1784" s="5" t="s">
        <v>177</v>
      </c>
      <c r="L1784" s="6" t="str">
        <f t="shared" si="507"/>
        <v>Bum</v>
      </c>
      <c r="M1784" s="13"/>
      <c r="N1784" s="7" t="s">
        <v>5550</v>
      </c>
      <c r="O1784" s="13" t="s">
        <v>5572</v>
      </c>
      <c r="P1784" s="115"/>
      <c r="Q1784" s="8"/>
      <c r="R1784" s="2">
        <v>1</v>
      </c>
      <c r="S1784" s="9">
        <v>8900</v>
      </c>
      <c r="T1784" s="10">
        <f t="shared" si="508"/>
        <v>4450</v>
      </c>
      <c r="U1784" s="9">
        <v>2</v>
      </c>
      <c r="V1784" s="10">
        <f t="shared" si="509"/>
        <v>4448</v>
      </c>
      <c r="W1784" s="4" t="s">
        <v>122</v>
      </c>
      <c r="X1784" s="2"/>
      <c r="Y1784" s="11">
        <v>1</v>
      </c>
      <c r="Z1784" s="12">
        <f t="shared" si="510"/>
        <v>1</v>
      </c>
      <c r="AA1784" s="4" t="s">
        <v>117</v>
      </c>
    </row>
    <row r="1785" spans="2:30">
      <c r="B1785" s="183">
        <f t="shared" si="532"/>
        <v>51</v>
      </c>
      <c r="C1785" s="107" t="str">
        <f t="shared" si="533"/>
        <v>ATK</v>
      </c>
      <c r="D1785" s="2" t="s">
        <v>3293</v>
      </c>
      <c r="E1785" s="3">
        <v>44183</v>
      </c>
      <c r="F1785" s="3">
        <v>44183</v>
      </c>
      <c r="G1785" s="108">
        <f t="shared" si="534"/>
        <v>12</v>
      </c>
      <c r="H1785" s="108" t="str">
        <f t="shared" si="535"/>
        <v>Other</v>
      </c>
      <c r="I1785" s="112" t="s">
        <v>31</v>
      </c>
      <c r="J1785" s="4" t="s">
        <v>31</v>
      </c>
      <c r="K1785" s="5" t="s">
        <v>31</v>
      </c>
      <c r="L1785" s="6" t="str">
        <f t="shared" ref="L1785:L1786" si="536">LEFT(K1785,3)</f>
        <v>Oth</v>
      </c>
      <c r="M1785" s="13" t="s">
        <v>3293</v>
      </c>
      <c r="N1785" s="7" t="s">
        <v>5191</v>
      </c>
      <c r="O1785" s="13" t="s">
        <v>226</v>
      </c>
      <c r="P1785" s="115" t="s">
        <v>5573</v>
      </c>
      <c r="Q1785" s="8"/>
      <c r="R1785" s="2">
        <v>1</v>
      </c>
      <c r="S1785" s="9">
        <v>0</v>
      </c>
      <c r="T1785" s="10">
        <f t="shared" ref="T1785:T1786" si="537">(S1785*50)/100*R1785</f>
        <v>0</v>
      </c>
      <c r="U1785" s="9">
        <v>0</v>
      </c>
      <c r="V1785" s="10">
        <f t="shared" ref="V1785:V1786" si="538">T1785-U1785</f>
        <v>0</v>
      </c>
      <c r="W1785" s="4" t="s">
        <v>249</v>
      </c>
      <c r="X1785" s="2"/>
      <c r="Y1785" s="11">
        <v>1</v>
      </c>
      <c r="Z1785" s="12">
        <f t="shared" ref="Z1785:Z1786" si="539">F1785-E1785</f>
        <v>0</v>
      </c>
      <c r="AA1785" s="4" t="s">
        <v>30</v>
      </c>
    </row>
    <row r="1786" spans="2:30">
      <c r="B1786" s="183">
        <f t="shared" si="532"/>
        <v>51</v>
      </c>
      <c r="C1786" s="107" t="str">
        <f t="shared" si="533"/>
        <v>ATK</v>
      </c>
      <c r="D1786" s="2" t="s">
        <v>3293</v>
      </c>
      <c r="E1786" s="3">
        <v>44183</v>
      </c>
      <c r="F1786" s="3">
        <v>44183</v>
      </c>
      <c r="G1786" s="108">
        <f t="shared" si="534"/>
        <v>12</v>
      </c>
      <c r="H1786" s="108" t="str">
        <f t="shared" si="535"/>
        <v>Other</v>
      </c>
      <c r="I1786" s="112" t="s">
        <v>251</v>
      </c>
      <c r="J1786" s="4" t="s">
        <v>31</v>
      </c>
      <c r="K1786" s="5" t="s">
        <v>31</v>
      </c>
      <c r="L1786" s="6" t="str">
        <f t="shared" si="536"/>
        <v>Oth</v>
      </c>
      <c r="M1786" s="13" t="s">
        <v>3293</v>
      </c>
      <c r="N1786" s="7" t="s">
        <v>5191</v>
      </c>
      <c r="O1786" s="13" t="s">
        <v>226</v>
      </c>
      <c r="P1786" s="115" t="s">
        <v>5573</v>
      </c>
      <c r="Q1786" s="8"/>
      <c r="R1786" s="2">
        <v>1</v>
      </c>
      <c r="S1786" s="9">
        <v>0</v>
      </c>
      <c r="T1786" s="10">
        <f t="shared" si="537"/>
        <v>0</v>
      </c>
      <c r="U1786" s="9">
        <v>0</v>
      </c>
      <c r="V1786" s="10">
        <f t="shared" si="538"/>
        <v>0</v>
      </c>
      <c r="W1786" s="4" t="s">
        <v>249</v>
      </c>
      <c r="X1786" s="2"/>
      <c r="Y1786" s="11">
        <v>1</v>
      </c>
      <c r="Z1786" s="12">
        <f t="shared" si="539"/>
        <v>0</v>
      </c>
      <c r="AA1786" s="4" t="s">
        <v>174</v>
      </c>
    </row>
    <row r="1787" spans="2:30">
      <c r="B1787" s="183">
        <f t="shared" si="532"/>
        <v>51</v>
      </c>
      <c r="C1787" s="107" t="str">
        <f t="shared" si="533"/>
        <v>ATK</v>
      </c>
      <c r="D1787" s="2" t="s">
        <v>764</v>
      </c>
      <c r="E1787" s="3">
        <v>44183</v>
      </c>
      <c r="F1787" s="3">
        <v>44183</v>
      </c>
      <c r="G1787" s="108">
        <f t="shared" si="534"/>
        <v>12</v>
      </c>
      <c r="H1787" s="108" t="str">
        <f t="shared" si="535"/>
        <v>완료</v>
      </c>
      <c r="I1787" s="112" t="s">
        <v>218</v>
      </c>
      <c r="J1787" s="4" t="s">
        <v>118</v>
      </c>
      <c r="K1787" s="5" t="s">
        <v>119</v>
      </c>
      <c r="L1787" s="6" t="str">
        <f t="shared" si="507"/>
        <v>2T3</v>
      </c>
      <c r="M1787" s="13" t="s">
        <v>1773</v>
      </c>
      <c r="N1787" s="7" t="s">
        <v>4625</v>
      </c>
      <c r="O1787" s="13" t="s">
        <v>284</v>
      </c>
      <c r="P1787" s="115" t="s">
        <v>5575</v>
      </c>
      <c r="Q1787" s="8"/>
      <c r="R1787" s="2">
        <v>1</v>
      </c>
      <c r="S1787" s="9">
        <v>1000</v>
      </c>
      <c r="T1787" s="10">
        <f t="shared" si="508"/>
        <v>500</v>
      </c>
      <c r="U1787" s="9">
        <v>0</v>
      </c>
      <c r="V1787" s="10">
        <f t="shared" si="509"/>
        <v>500</v>
      </c>
      <c r="W1787" s="4" t="s">
        <v>122</v>
      </c>
      <c r="X1787" s="2"/>
      <c r="Y1787" s="11">
        <v>3</v>
      </c>
      <c r="Z1787" s="12">
        <f t="shared" si="510"/>
        <v>0</v>
      </c>
      <c r="AA1787" s="4" t="s">
        <v>212</v>
      </c>
    </row>
    <row r="1788" spans="2:30">
      <c r="B1788" s="183">
        <f t="shared" si="532"/>
        <v>51</v>
      </c>
      <c r="C1788" s="107" t="str">
        <f t="shared" si="533"/>
        <v>ATK</v>
      </c>
      <c r="D1788" s="2" t="s">
        <v>5576</v>
      </c>
      <c r="E1788" s="3">
        <v>44183</v>
      </c>
      <c r="F1788" s="3">
        <v>44183</v>
      </c>
      <c r="G1788" s="108">
        <f t="shared" si="534"/>
        <v>12</v>
      </c>
      <c r="H1788" s="108" t="str">
        <f t="shared" si="535"/>
        <v>완료</v>
      </c>
      <c r="I1788" s="112" t="s">
        <v>218</v>
      </c>
      <c r="J1788" s="4" t="s">
        <v>132</v>
      </c>
      <c r="K1788" s="5" t="s">
        <v>143</v>
      </c>
      <c r="L1788" s="6" t="str">
        <f t="shared" si="507"/>
        <v>3T4</v>
      </c>
      <c r="M1788" s="13" t="s">
        <v>323</v>
      </c>
      <c r="N1788" s="7" t="s">
        <v>1894</v>
      </c>
      <c r="O1788" s="13" t="s">
        <v>225</v>
      </c>
      <c r="P1788" s="115" t="s">
        <v>5577</v>
      </c>
      <c r="Q1788" s="8"/>
      <c r="R1788" s="2">
        <v>1</v>
      </c>
      <c r="S1788" s="9">
        <v>2000</v>
      </c>
      <c r="T1788" s="10">
        <f t="shared" si="508"/>
        <v>1000</v>
      </c>
      <c r="U1788" s="9">
        <v>60</v>
      </c>
      <c r="V1788" s="10">
        <f t="shared" si="509"/>
        <v>940</v>
      </c>
      <c r="W1788" s="4" t="s">
        <v>122</v>
      </c>
      <c r="X1788" s="2"/>
      <c r="Y1788" s="11">
        <v>1</v>
      </c>
      <c r="Z1788" s="12">
        <f t="shared" si="510"/>
        <v>0</v>
      </c>
      <c r="AA1788" s="4" t="s">
        <v>117</v>
      </c>
    </row>
    <row r="1789" spans="2:30">
      <c r="B1789" s="183">
        <f t="shared" si="532"/>
        <v>51</v>
      </c>
      <c r="C1789" s="107" t="str">
        <f t="shared" si="533"/>
        <v>ATK</v>
      </c>
      <c r="D1789" s="2" t="s">
        <v>4531</v>
      </c>
      <c r="E1789" s="3">
        <v>44182</v>
      </c>
      <c r="F1789" s="3">
        <v>44183</v>
      </c>
      <c r="G1789" s="108">
        <f t="shared" si="534"/>
        <v>12</v>
      </c>
      <c r="H1789" s="108" t="str">
        <f t="shared" si="535"/>
        <v>Other</v>
      </c>
      <c r="I1789" s="112" t="s">
        <v>251</v>
      </c>
      <c r="J1789" s="4" t="s">
        <v>281</v>
      </c>
      <c r="K1789" s="5" t="s">
        <v>332</v>
      </c>
      <c r="L1789" s="6" t="str">
        <f t="shared" si="507"/>
        <v>EE2</v>
      </c>
      <c r="M1789" s="13" t="s">
        <v>5578</v>
      </c>
      <c r="N1789" s="7" t="s">
        <v>226</v>
      </c>
      <c r="O1789" s="13" t="s">
        <v>226</v>
      </c>
      <c r="P1789" s="115" t="s">
        <v>5579</v>
      </c>
      <c r="Q1789" s="8"/>
      <c r="R1789" s="2">
        <v>1</v>
      </c>
      <c r="S1789" s="9">
        <v>0</v>
      </c>
      <c r="T1789" s="10">
        <f t="shared" si="508"/>
        <v>0</v>
      </c>
      <c r="U1789" s="9">
        <v>0</v>
      </c>
      <c r="V1789" s="10">
        <f t="shared" si="509"/>
        <v>0</v>
      </c>
      <c r="W1789" s="4" t="s">
        <v>122</v>
      </c>
      <c r="X1789" s="2"/>
      <c r="Y1789" s="11">
        <v>8</v>
      </c>
      <c r="Z1789" s="12">
        <f t="shared" si="510"/>
        <v>1</v>
      </c>
      <c r="AA1789" s="4" t="s">
        <v>27</v>
      </c>
    </row>
    <row r="1790" spans="2:30">
      <c r="B1790" s="183">
        <f t="shared" si="532"/>
        <v>51</v>
      </c>
      <c r="C1790" s="107" t="str">
        <f t="shared" si="533"/>
        <v>ATK</v>
      </c>
      <c r="D1790" s="2" t="s">
        <v>4531</v>
      </c>
      <c r="E1790" s="3">
        <v>44182</v>
      </c>
      <c r="F1790" s="3">
        <v>44183</v>
      </c>
      <c r="G1790" s="108">
        <f t="shared" si="534"/>
        <v>12</v>
      </c>
      <c r="H1790" s="108" t="str">
        <f t="shared" si="535"/>
        <v>Other</v>
      </c>
      <c r="I1790" s="112" t="s">
        <v>251</v>
      </c>
      <c r="J1790" s="4" t="s">
        <v>281</v>
      </c>
      <c r="K1790" s="5" t="s">
        <v>332</v>
      </c>
      <c r="L1790" s="6" t="str">
        <f t="shared" ref="L1790" si="540">LEFT(K1790,3)</f>
        <v>EE2</v>
      </c>
      <c r="M1790" s="13" t="s">
        <v>5578</v>
      </c>
      <c r="N1790" s="7" t="s">
        <v>226</v>
      </c>
      <c r="O1790" s="13" t="s">
        <v>226</v>
      </c>
      <c r="P1790" s="115" t="s">
        <v>5579</v>
      </c>
      <c r="Q1790" s="8"/>
      <c r="R1790" s="2">
        <v>1</v>
      </c>
      <c r="S1790" s="9">
        <v>0</v>
      </c>
      <c r="T1790" s="10">
        <f t="shared" ref="T1790" si="541">(S1790*50)/100*R1790</f>
        <v>0</v>
      </c>
      <c r="U1790" s="9">
        <v>0</v>
      </c>
      <c r="V1790" s="10">
        <f t="shared" ref="V1790" si="542">T1790-U1790</f>
        <v>0</v>
      </c>
      <c r="W1790" s="4" t="s">
        <v>122</v>
      </c>
      <c r="X1790" s="2"/>
      <c r="Y1790" s="11">
        <v>8</v>
      </c>
      <c r="Z1790" s="12">
        <f t="shared" si="510"/>
        <v>1</v>
      </c>
      <c r="AA1790" s="4" t="s">
        <v>174</v>
      </c>
    </row>
    <row r="1791" spans="2:30">
      <c r="B1791" s="183">
        <f t="shared" si="532"/>
        <v>51</v>
      </c>
      <c r="C1791" s="107" t="str">
        <f t="shared" si="533"/>
        <v>ATK</v>
      </c>
      <c r="D1791" s="2" t="s">
        <v>4483</v>
      </c>
      <c r="E1791" s="3">
        <v>44183</v>
      </c>
      <c r="F1791" s="3">
        <v>44183</v>
      </c>
      <c r="G1791" s="108">
        <f t="shared" si="534"/>
        <v>12</v>
      </c>
      <c r="H1791" s="108" t="str">
        <f t="shared" si="535"/>
        <v>Other</v>
      </c>
      <c r="I1791" s="112" t="s">
        <v>251</v>
      </c>
      <c r="J1791" s="4" t="s">
        <v>281</v>
      </c>
      <c r="K1791" s="5" t="s">
        <v>282</v>
      </c>
      <c r="L1791" s="6" t="str">
        <f t="shared" si="507"/>
        <v>EE1</v>
      </c>
      <c r="M1791" s="13" t="s">
        <v>5580</v>
      </c>
      <c r="N1791" s="7" t="s">
        <v>5581</v>
      </c>
      <c r="O1791" s="13" t="s">
        <v>226</v>
      </c>
      <c r="P1791" s="115" t="s">
        <v>5582</v>
      </c>
      <c r="Q1791" s="8"/>
      <c r="R1791" s="2">
        <v>1</v>
      </c>
      <c r="S1791" s="9">
        <v>0</v>
      </c>
      <c r="T1791" s="10">
        <f t="shared" si="508"/>
        <v>0</v>
      </c>
      <c r="U1791" s="9">
        <v>0</v>
      </c>
      <c r="V1791" s="10">
        <f>T1791-U1791</f>
        <v>0</v>
      </c>
      <c r="W1791" s="4" t="s">
        <v>122</v>
      </c>
      <c r="X1791" s="2"/>
      <c r="Y1791" s="11">
        <v>4</v>
      </c>
      <c r="Z1791" s="12">
        <f t="shared" si="510"/>
        <v>0</v>
      </c>
      <c r="AA1791" s="4" t="s">
        <v>27</v>
      </c>
    </row>
    <row r="1792" spans="2:30">
      <c r="B1792" s="183">
        <f t="shared" si="532"/>
        <v>51</v>
      </c>
      <c r="C1792" s="107" t="str">
        <f t="shared" si="533"/>
        <v>ATK</v>
      </c>
      <c r="D1792" s="2" t="s">
        <v>4483</v>
      </c>
      <c r="E1792" s="3">
        <v>44183</v>
      </c>
      <c r="F1792" s="3">
        <v>44183</v>
      </c>
      <c r="G1792" s="108">
        <f t="shared" si="534"/>
        <v>12</v>
      </c>
      <c r="H1792" s="108" t="str">
        <f t="shared" si="535"/>
        <v>Other</v>
      </c>
      <c r="I1792" s="112" t="s">
        <v>251</v>
      </c>
      <c r="J1792" s="4" t="s">
        <v>281</v>
      </c>
      <c r="K1792" s="5" t="s">
        <v>282</v>
      </c>
      <c r="L1792" s="6" t="str">
        <f t="shared" ref="L1792" si="543">LEFT(K1792,3)</f>
        <v>EE1</v>
      </c>
      <c r="M1792" s="13" t="s">
        <v>5580</v>
      </c>
      <c r="N1792" s="7" t="s">
        <v>5581</v>
      </c>
      <c r="O1792" s="13" t="s">
        <v>226</v>
      </c>
      <c r="P1792" s="115" t="s">
        <v>5582</v>
      </c>
      <c r="Q1792" s="8"/>
      <c r="R1792" s="2">
        <v>1</v>
      </c>
      <c r="S1792" s="9">
        <v>0</v>
      </c>
      <c r="T1792" s="10">
        <f t="shared" ref="T1792" si="544">(S1792*50)/100*R1792</f>
        <v>0</v>
      </c>
      <c r="U1792" s="9">
        <v>0</v>
      </c>
      <c r="V1792" s="10">
        <f>T1792-U1792</f>
        <v>0</v>
      </c>
      <c r="W1792" s="4" t="s">
        <v>122</v>
      </c>
      <c r="X1792" s="11"/>
      <c r="Y1792" s="11">
        <v>4</v>
      </c>
      <c r="Z1792" s="12">
        <f t="shared" si="510"/>
        <v>0</v>
      </c>
      <c r="AA1792" s="4" t="s">
        <v>174</v>
      </c>
      <c r="AB1792" s="176"/>
      <c r="AC1792" s="199"/>
      <c r="AD1792"/>
    </row>
    <row r="1793" spans="2:27">
      <c r="B1793" s="183">
        <f t="shared" si="532"/>
        <v>51</v>
      </c>
      <c r="C1793" s="107" t="str">
        <f t="shared" si="533"/>
        <v>ATK</v>
      </c>
      <c r="D1793" s="2" t="s">
        <v>5583</v>
      </c>
      <c r="E1793" s="3">
        <v>44183</v>
      </c>
      <c r="F1793" s="3">
        <v>44183</v>
      </c>
      <c r="G1793" s="108">
        <f t="shared" si="534"/>
        <v>12</v>
      </c>
      <c r="H1793" s="108" t="str">
        <f t="shared" si="535"/>
        <v>Other</v>
      </c>
      <c r="I1793" s="112" t="s">
        <v>251</v>
      </c>
      <c r="J1793" s="4" t="s">
        <v>31</v>
      </c>
      <c r="K1793" s="5" t="s">
        <v>31</v>
      </c>
      <c r="L1793" s="6" t="str">
        <f t="shared" si="507"/>
        <v>Oth</v>
      </c>
      <c r="M1793" s="13" t="s">
        <v>4284</v>
      </c>
      <c r="N1793" s="7" t="s">
        <v>226</v>
      </c>
      <c r="O1793" s="7" t="s">
        <v>226</v>
      </c>
      <c r="P1793" s="115" t="s">
        <v>5584</v>
      </c>
      <c r="Q1793" s="8"/>
      <c r="R1793" s="2">
        <v>1</v>
      </c>
      <c r="S1793" s="9">
        <v>0</v>
      </c>
      <c r="T1793" s="10">
        <f t="shared" si="508"/>
        <v>0</v>
      </c>
      <c r="U1793" s="9">
        <v>0</v>
      </c>
      <c r="V1793" s="10">
        <f t="shared" si="509"/>
        <v>0</v>
      </c>
      <c r="W1793" s="4" t="s">
        <v>122</v>
      </c>
      <c r="X1793" s="2"/>
      <c r="Y1793" s="11">
        <v>1</v>
      </c>
      <c r="Z1793" s="12">
        <f t="shared" si="510"/>
        <v>0</v>
      </c>
      <c r="AA1793" s="4" t="s">
        <v>27</v>
      </c>
    </row>
    <row r="1794" spans="2:27">
      <c r="B1794" s="183">
        <f t="shared" si="532"/>
        <v>51</v>
      </c>
      <c r="C1794" s="107" t="str">
        <f t="shared" si="533"/>
        <v>ATK</v>
      </c>
      <c r="D1794" s="2" t="s">
        <v>5583</v>
      </c>
      <c r="E1794" s="3">
        <v>44183</v>
      </c>
      <c r="F1794" s="3">
        <v>44183</v>
      </c>
      <c r="G1794" s="108">
        <f t="shared" si="534"/>
        <v>12</v>
      </c>
      <c r="H1794" s="108" t="str">
        <f t="shared" si="535"/>
        <v>Other</v>
      </c>
      <c r="I1794" s="112" t="s">
        <v>251</v>
      </c>
      <c r="J1794" s="4" t="s">
        <v>31</v>
      </c>
      <c r="K1794" s="5" t="s">
        <v>31</v>
      </c>
      <c r="L1794" s="6" t="str">
        <f t="shared" ref="L1794:L1810" si="545">LEFT(K1794,3)</f>
        <v>Oth</v>
      </c>
      <c r="M1794" s="13" t="s">
        <v>4284</v>
      </c>
      <c r="N1794" s="7" t="s">
        <v>226</v>
      </c>
      <c r="O1794" s="7" t="s">
        <v>226</v>
      </c>
      <c r="P1794" s="115" t="s">
        <v>5584</v>
      </c>
      <c r="Q1794" s="8"/>
      <c r="R1794" s="2">
        <v>1</v>
      </c>
      <c r="S1794" s="9">
        <v>0</v>
      </c>
      <c r="T1794" s="10">
        <f t="shared" si="508"/>
        <v>0</v>
      </c>
      <c r="U1794" s="9">
        <v>0</v>
      </c>
      <c r="V1794" s="10">
        <f>T1794-U1794</f>
        <v>0</v>
      </c>
      <c r="W1794" s="4" t="s">
        <v>122</v>
      </c>
      <c r="X1794" s="2"/>
      <c r="Y1794" s="11">
        <v>1</v>
      </c>
      <c r="Z1794" s="12">
        <f t="shared" ref="Z1794:Z1809" si="546">F1794-E1794</f>
        <v>0</v>
      </c>
      <c r="AA1794" s="4" t="s">
        <v>174</v>
      </c>
    </row>
    <row r="1795" spans="2:27">
      <c r="B1795" s="183">
        <f t="shared" si="532"/>
        <v>52</v>
      </c>
      <c r="C1795" s="107" t="str">
        <f t="shared" si="533"/>
        <v>ATK</v>
      </c>
      <c r="D1795" s="2" t="s">
        <v>3293</v>
      </c>
      <c r="E1795" s="3">
        <v>44186</v>
      </c>
      <c r="F1795" s="3">
        <v>44186</v>
      </c>
      <c r="G1795" s="108">
        <f t="shared" si="534"/>
        <v>12</v>
      </c>
      <c r="H1795" s="108" t="str">
        <f t="shared" si="535"/>
        <v>Other</v>
      </c>
      <c r="I1795" s="112" t="s">
        <v>31</v>
      </c>
      <c r="J1795" s="4" t="s">
        <v>31</v>
      </c>
      <c r="K1795" s="5" t="s">
        <v>31</v>
      </c>
      <c r="L1795" s="6" t="str">
        <f t="shared" si="545"/>
        <v>Oth</v>
      </c>
      <c r="M1795" s="13" t="s">
        <v>3293</v>
      </c>
      <c r="N1795" s="7" t="s">
        <v>5191</v>
      </c>
      <c r="O1795" s="13" t="s">
        <v>226</v>
      </c>
      <c r="P1795" s="115" t="s">
        <v>5591</v>
      </c>
      <c r="Q1795" s="8"/>
      <c r="R1795" s="2">
        <v>1</v>
      </c>
      <c r="S1795" s="9">
        <v>0</v>
      </c>
      <c r="T1795" s="10">
        <f t="shared" ref="T1795:T1809" si="547">(S1795*50)/100*R1795</f>
        <v>0</v>
      </c>
      <c r="U1795" s="9">
        <v>0</v>
      </c>
      <c r="V1795" s="10">
        <f t="shared" ref="V1795:V1809" si="548">T1795-U1795</f>
        <v>0</v>
      </c>
      <c r="W1795" s="4" t="s">
        <v>249</v>
      </c>
      <c r="X1795" s="2"/>
      <c r="Y1795" s="11">
        <v>1</v>
      </c>
      <c r="Z1795" s="12">
        <f t="shared" si="546"/>
        <v>0</v>
      </c>
      <c r="AA1795" s="4" t="s">
        <v>30</v>
      </c>
    </row>
    <row r="1796" spans="2:27">
      <c r="B1796" s="183">
        <f t="shared" si="532"/>
        <v>52</v>
      </c>
      <c r="C1796" s="107" t="str">
        <f t="shared" si="533"/>
        <v>ATK</v>
      </c>
      <c r="D1796" s="2" t="s">
        <v>3293</v>
      </c>
      <c r="E1796" s="3">
        <v>44186</v>
      </c>
      <c r="F1796" s="3">
        <v>44186</v>
      </c>
      <c r="G1796" s="108">
        <f t="shared" si="534"/>
        <v>12</v>
      </c>
      <c r="H1796" s="108" t="str">
        <f t="shared" si="535"/>
        <v>Other</v>
      </c>
      <c r="I1796" s="112" t="s">
        <v>251</v>
      </c>
      <c r="J1796" s="4" t="s">
        <v>31</v>
      </c>
      <c r="K1796" s="5" t="s">
        <v>31</v>
      </c>
      <c r="L1796" s="6" t="str">
        <f t="shared" si="545"/>
        <v>Oth</v>
      </c>
      <c r="M1796" s="13" t="s">
        <v>3293</v>
      </c>
      <c r="N1796" s="7" t="s">
        <v>5191</v>
      </c>
      <c r="O1796" s="13" t="s">
        <v>226</v>
      </c>
      <c r="P1796" s="115" t="s">
        <v>5591</v>
      </c>
      <c r="Q1796" s="8"/>
      <c r="R1796" s="2">
        <v>1</v>
      </c>
      <c r="S1796" s="9">
        <v>0</v>
      </c>
      <c r="T1796" s="10">
        <f t="shared" si="547"/>
        <v>0</v>
      </c>
      <c r="U1796" s="9">
        <v>0</v>
      </c>
      <c r="V1796" s="10">
        <f t="shared" si="548"/>
        <v>0</v>
      </c>
      <c r="W1796" s="4" t="s">
        <v>249</v>
      </c>
      <c r="X1796" s="2"/>
      <c r="Y1796" s="11">
        <v>1</v>
      </c>
      <c r="Z1796" s="12">
        <f t="shared" si="546"/>
        <v>0</v>
      </c>
      <c r="AA1796" s="4" t="s">
        <v>174</v>
      </c>
    </row>
    <row r="1797" spans="2:27">
      <c r="B1797" s="183">
        <f t="shared" si="532"/>
        <v>52</v>
      </c>
      <c r="C1797" s="107" t="str">
        <f t="shared" si="533"/>
        <v>ATK</v>
      </c>
      <c r="D1797" s="2" t="s">
        <v>5588</v>
      </c>
      <c r="E1797" s="3">
        <v>44186</v>
      </c>
      <c r="F1797" s="3">
        <v>44186</v>
      </c>
      <c r="G1797" s="108">
        <f t="shared" si="534"/>
        <v>12</v>
      </c>
      <c r="H1797" s="108" t="str">
        <f t="shared" si="535"/>
        <v>완료</v>
      </c>
      <c r="I1797" s="112" t="s">
        <v>5590</v>
      </c>
      <c r="J1797" s="4" t="s">
        <v>118</v>
      </c>
      <c r="K1797" s="5" t="s">
        <v>119</v>
      </c>
      <c r="L1797" s="6" t="s">
        <v>4914</v>
      </c>
      <c r="M1797" s="13" t="s">
        <v>148</v>
      </c>
      <c r="N1797" s="7" t="s">
        <v>5586</v>
      </c>
      <c r="O1797" s="13" t="s">
        <v>5589</v>
      </c>
      <c r="P1797" s="115" t="s">
        <v>5587</v>
      </c>
      <c r="Q1797" s="8"/>
      <c r="R1797" s="2">
        <v>1</v>
      </c>
      <c r="S1797" s="9">
        <v>2000</v>
      </c>
      <c r="T1797" s="10">
        <f t="shared" si="547"/>
        <v>1000</v>
      </c>
      <c r="U1797" s="9">
        <v>5</v>
      </c>
      <c r="V1797" s="10">
        <f t="shared" si="548"/>
        <v>995</v>
      </c>
      <c r="W1797" s="4" t="s">
        <v>122</v>
      </c>
      <c r="X1797" s="2"/>
      <c r="Y1797" s="11">
        <v>3</v>
      </c>
      <c r="Z1797" s="12">
        <f t="shared" si="546"/>
        <v>0</v>
      </c>
      <c r="AA1797" s="4" t="s">
        <v>175</v>
      </c>
    </row>
    <row r="1798" spans="2:27">
      <c r="B1798" s="183">
        <f t="shared" si="532"/>
        <v>52</v>
      </c>
      <c r="C1798" s="107" t="str">
        <f t="shared" si="533"/>
        <v>ATK</v>
      </c>
      <c r="D1798" s="2" t="s">
        <v>455</v>
      </c>
      <c r="E1798" s="3">
        <v>44186</v>
      </c>
      <c r="F1798" s="3">
        <v>44187</v>
      </c>
      <c r="G1798" s="108">
        <f t="shared" si="534"/>
        <v>12</v>
      </c>
      <c r="H1798" s="108" t="str">
        <f t="shared" si="535"/>
        <v>완료</v>
      </c>
      <c r="I1798" s="112" t="s">
        <v>218</v>
      </c>
      <c r="J1798" s="4" t="s">
        <v>118</v>
      </c>
      <c r="K1798" s="5" t="s">
        <v>119</v>
      </c>
      <c r="L1798" s="6" t="str">
        <f t="shared" si="545"/>
        <v>2T3</v>
      </c>
      <c r="M1798" s="13" t="s">
        <v>5592</v>
      </c>
      <c r="N1798" s="7" t="s">
        <v>5593</v>
      </c>
      <c r="O1798" s="13" t="s">
        <v>5594</v>
      </c>
      <c r="P1798" s="115" t="s">
        <v>5612</v>
      </c>
      <c r="Q1798" s="8" t="s">
        <v>5595</v>
      </c>
      <c r="R1798" s="2">
        <v>1</v>
      </c>
      <c r="S1798" s="9">
        <v>4300</v>
      </c>
      <c r="T1798" s="10">
        <f t="shared" si="547"/>
        <v>2150</v>
      </c>
      <c r="U1798" s="9">
        <v>0</v>
      </c>
      <c r="V1798" s="10">
        <f t="shared" si="548"/>
        <v>2150</v>
      </c>
      <c r="W1798" s="4" t="s">
        <v>122</v>
      </c>
      <c r="X1798" s="2"/>
      <c r="Y1798" s="11">
        <v>5</v>
      </c>
      <c r="Z1798" s="12">
        <f t="shared" si="546"/>
        <v>1</v>
      </c>
      <c r="AA1798" s="4" t="s">
        <v>120</v>
      </c>
    </row>
    <row r="1799" spans="2:27">
      <c r="B1799" s="183">
        <f t="shared" si="532"/>
        <v>52</v>
      </c>
      <c r="C1799" s="107" t="str">
        <f t="shared" si="533"/>
        <v>ATK</v>
      </c>
      <c r="D1799" s="2" t="s">
        <v>5597</v>
      </c>
      <c r="E1799" s="3">
        <v>44186</v>
      </c>
      <c r="F1799" s="3">
        <v>44186</v>
      </c>
      <c r="G1799" s="108">
        <f t="shared" si="534"/>
        <v>12</v>
      </c>
      <c r="H1799" s="108" t="str">
        <f t="shared" si="535"/>
        <v>완료</v>
      </c>
      <c r="I1799" s="112" t="s">
        <v>218</v>
      </c>
      <c r="J1799" s="4" t="s">
        <v>127</v>
      </c>
      <c r="K1799" s="5" t="s">
        <v>209</v>
      </c>
      <c r="L1799" s="6" t="str">
        <f t="shared" si="545"/>
        <v>1T2</v>
      </c>
      <c r="M1799" s="13"/>
      <c r="N1799" s="7" t="s">
        <v>3962</v>
      </c>
      <c r="O1799" s="13" t="s">
        <v>636</v>
      </c>
      <c r="P1799" s="115"/>
      <c r="Q1799" s="8"/>
      <c r="R1799" s="2">
        <v>1</v>
      </c>
      <c r="S1799" s="9">
        <v>700</v>
      </c>
      <c r="T1799" s="10">
        <f t="shared" si="547"/>
        <v>350</v>
      </c>
      <c r="U1799" s="9">
        <v>0</v>
      </c>
      <c r="V1799" s="10">
        <f t="shared" si="548"/>
        <v>350</v>
      </c>
      <c r="W1799" s="4" t="s">
        <v>122</v>
      </c>
      <c r="X1799" s="2"/>
      <c r="Y1799" s="11">
        <v>1</v>
      </c>
      <c r="Z1799" s="12">
        <f t="shared" si="546"/>
        <v>0</v>
      </c>
      <c r="AA1799" s="4" t="s">
        <v>117</v>
      </c>
    </row>
    <row r="1800" spans="2:27">
      <c r="B1800" s="183">
        <f t="shared" si="532"/>
        <v>52</v>
      </c>
      <c r="C1800" s="107" t="str">
        <f t="shared" si="533"/>
        <v>ATK</v>
      </c>
      <c r="D1800" s="2" t="s">
        <v>5598</v>
      </c>
      <c r="E1800" s="3">
        <v>44187</v>
      </c>
      <c r="F1800" s="3">
        <v>44188</v>
      </c>
      <c r="G1800" s="108">
        <f t="shared" si="534"/>
        <v>12</v>
      </c>
      <c r="H1800" s="108" t="str">
        <f t="shared" si="535"/>
        <v>완료</v>
      </c>
      <c r="I1800" s="112" t="s">
        <v>218</v>
      </c>
      <c r="J1800" s="4" t="s">
        <v>243</v>
      </c>
      <c r="K1800" s="5" t="s">
        <v>243</v>
      </c>
      <c r="L1800" s="6" t="str">
        <f t="shared" si="545"/>
        <v>K5</v>
      </c>
      <c r="M1800" s="13" t="s">
        <v>5599</v>
      </c>
      <c r="N1800" s="7" t="s">
        <v>5199</v>
      </c>
      <c r="O1800" s="13" t="s">
        <v>5600</v>
      </c>
      <c r="P1800" s="115" t="s">
        <v>5601</v>
      </c>
      <c r="Q1800" s="8"/>
      <c r="R1800" s="2">
        <v>1</v>
      </c>
      <c r="S1800" s="9">
        <v>12000</v>
      </c>
      <c r="T1800" s="10">
        <f t="shared" si="547"/>
        <v>6000</v>
      </c>
      <c r="U1800" s="9">
        <v>70</v>
      </c>
      <c r="V1800" s="10">
        <f t="shared" si="548"/>
        <v>5930</v>
      </c>
      <c r="W1800" s="4" t="s">
        <v>122</v>
      </c>
      <c r="X1800" s="2"/>
      <c r="Y1800" s="11">
        <v>4</v>
      </c>
      <c r="Z1800" s="12">
        <f t="shared" si="546"/>
        <v>1</v>
      </c>
      <c r="AA1800" s="4" t="s">
        <v>5619</v>
      </c>
    </row>
    <row r="1801" spans="2:27">
      <c r="B1801" s="183">
        <f t="shared" si="532"/>
        <v>52</v>
      </c>
      <c r="C1801" s="107" t="str">
        <f t="shared" si="533"/>
        <v>ATK</v>
      </c>
      <c r="D1801" s="2" t="s">
        <v>5059</v>
      </c>
      <c r="E1801" s="3">
        <v>44187</v>
      </c>
      <c r="F1801" s="3">
        <v>44188</v>
      </c>
      <c r="G1801" s="108">
        <f t="shared" si="534"/>
        <v>12</v>
      </c>
      <c r="H1801" s="108" t="str">
        <f t="shared" si="535"/>
        <v>완료</v>
      </c>
      <c r="I1801" s="112" t="s">
        <v>218</v>
      </c>
      <c r="J1801" s="4" t="s">
        <v>243</v>
      </c>
      <c r="K1801" s="5" t="s">
        <v>243</v>
      </c>
      <c r="L1801" s="6" t="str">
        <f t="shared" si="545"/>
        <v>K5</v>
      </c>
      <c r="M1801" s="13" t="s">
        <v>1899</v>
      </c>
      <c r="N1801" s="7" t="s">
        <v>4552</v>
      </c>
      <c r="O1801" s="13" t="s">
        <v>4553</v>
      </c>
      <c r="P1801" s="115" t="s">
        <v>4554</v>
      </c>
      <c r="Q1801" s="8"/>
      <c r="R1801" s="2">
        <v>1</v>
      </c>
      <c r="S1801" s="9">
        <v>6000</v>
      </c>
      <c r="T1801" s="10">
        <f t="shared" si="547"/>
        <v>3000</v>
      </c>
      <c r="U1801" s="9">
        <v>0</v>
      </c>
      <c r="V1801" s="10">
        <f t="shared" si="548"/>
        <v>3000</v>
      </c>
      <c r="W1801" s="4" t="s">
        <v>122</v>
      </c>
      <c r="X1801" s="2"/>
      <c r="Y1801" s="11">
        <v>3</v>
      </c>
      <c r="Z1801" s="12">
        <f t="shared" si="546"/>
        <v>1</v>
      </c>
      <c r="AA1801" s="4" t="s">
        <v>117</v>
      </c>
    </row>
    <row r="1802" spans="2:27">
      <c r="B1802" s="183">
        <f t="shared" si="532"/>
        <v>52</v>
      </c>
      <c r="C1802" s="107" t="str">
        <f t="shared" si="533"/>
        <v>ATK</v>
      </c>
      <c r="D1802" s="2" t="s">
        <v>5606</v>
      </c>
      <c r="E1802" s="3">
        <v>44182</v>
      </c>
      <c r="F1802" s="3">
        <v>44187</v>
      </c>
      <c r="G1802" s="108">
        <f t="shared" si="534"/>
        <v>12</v>
      </c>
      <c r="H1802" s="108" t="str">
        <f t="shared" si="535"/>
        <v>완료</v>
      </c>
      <c r="I1802" s="112" t="s">
        <v>218</v>
      </c>
      <c r="J1802" s="4" t="s">
        <v>132</v>
      </c>
      <c r="K1802" s="5" t="s">
        <v>322</v>
      </c>
      <c r="L1802" s="6" t="str">
        <f t="shared" si="545"/>
        <v>3T1</v>
      </c>
      <c r="M1802" s="13" t="s">
        <v>5607</v>
      </c>
      <c r="N1802" s="7" t="s">
        <v>5603</v>
      </c>
      <c r="O1802" s="13" t="s">
        <v>5604</v>
      </c>
      <c r="P1802" s="115" t="s">
        <v>5605</v>
      </c>
      <c r="Q1802" s="8"/>
      <c r="R1802" s="2">
        <v>3</v>
      </c>
      <c r="S1802" s="9">
        <v>700</v>
      </c>
      <c r="T1802" s="10">
        <f t="shared" si="547"/>
        <v>1050</v>
      </c>
      <c r="U1802" s="9">
        <v>0</v>
      </c>
      <c r="V1802" s="10">
        <f t="shared" si="548"/>
        <v>1050</v>
      </c>
      <c r="W1802" s="4" t="s">
        <v>122</v>
      </c>
      <c r="X1802" s="2"/>
      <c r="Y1802" s="11">
        <v>15</v>
      </c>
      <c r="Z1802" s="12">
        <f t="shared" si="546"/>
        <v>5</v>
      </c>
      <c r="AA1802" s="4" t="s">
        <v>212</v>
      </c>
    </row>
    <row r="1803" spans="2:27">
      <c r="B1803" s="183">
        <f t="shared" si="532"/>
        <v>52</v>
      </c>
      <c r="C1803" s="107" t="str">
        <f t="shared" si="533"/>
        <v>ATK</v>
      </c>
      <c r="D1803" s="2" t="s">
        <v>764</v>
      </c>
      <c r="E1803" s="3">
        <v>44186</v>
      </c>
      <c r="F1803" s="3">
        <v>44186</v>
      </c>
      <c r="G1803" s="108">
        <f t="shared" si="534"/>
        <v>12</v>
      </c>
      <c r="H1803" s="108" t="str">
        <f t="shared" si="535"/>
        <v>완료</v>
      </c>
      <c r="I1803" s="112" t="s">
        <v>218</v>
      </c>
      <c r="J1803" s="4" t="s">
        <v>118</v>
      </c>
      <c r="K1803" s="5" t="s">
        <v>119</v>
      </c>
      <c r="L1803" s="6" t="str">
        <f t="shared" si="545"/>
        <v>2T3</v>
      </c>
      <c r="M1803" s="13" t="s">
        <v>1773</v>
      </c>
      <c r="N1803" s="7" t="s">
        <v>4625</v>
      </c>
      <c r="O1803" s="13" t="s">
        <v>284</v>
      </c>
      <c r="P1803" s="115" t="s">
        <v>5610</v>
      </c>
      <c r="Q1803" s="8"/>
      <c r="R1803" s="2">
        <v>1</v>
      </c>
      <c r="S1803" s="9">
        <v>1000</v>
      </c>
      <c r="T1803" s="10">
        <f t="shared" si="547"/>
        <v>500</v>
      </c>
      <c r="U1803" s="9">
        <v>0</v>
      </c>
      <c r="V1803" s="10">
        <f t="shared" si="548"/>
        <v>500</v>
      </c>
      <c r="W1803" s="4" t="s">
        <v>122</v>
      </c>
      <c r="X1803" s="2"/>
      <c r="Y1803" s="11">
        <v>3</v>
      </c>
      <c r="Z1803" s="12">
        <f t="shared" si="546"/>
        <v>0</v>
      </c>
      <c r="AA1803" s="4" t="s">
        <v>212</v>
      </c>
    </row>
    <row r="1804" spans="2:27">
      <c r="B1804" s="183">
        <f t="shared" si="532"/>
        <v>52</v>
      </c>
      <c r="C1804" s="107" t="str">
        <f t="shared" si="533"/>
        <v>ATK</v>
      </c>
      <c r="D1804" s="2" t="s">
        <v>5608</v>
      </c>
      <c r="E1804" s="3">
        <v>44187</v>
      </c>
      <c r="F1804" s="3">
        <v>44188</v>
      </c>
      <c r="G1804" s="108">
        <f t="shared" si="534"/>
        <v>12</v>
      </c>
      <c r="H1804" s="108" t="str">
        <f t="shared" si="535"/>
        <v>완료</v>
      </c>
      <c r="I1804" s="112" t="s">
        <v>218</v>
      </c>
      <c r="J1804" s="4" t="s">
        <v>132</v>
      </c>
      <c r="K1804" s="5" t="s">
        <v>133</v>
      </c>
      <c r="L1804" s="6" t="str">
        <f t="shared" ref="L1804" si="549">LEFT(K1804,3)</f>
        <v>3T3</v>
      </c>
      <c r="M1804" s="13" t="s">
        <v>2941</v>
      </c>
      <c r="N1804" s="7" t="s">
        <v>5609</v>
      </c>
      <c r="O1804" s="13" t="s">
        <v>5604</v>
      </c>
      <c r="P1804" s="115" t="s">
        <v>5621</v>
      </c>
      <c r="Q1804" s="8"/>
      <c r="R1804" s="2">
        <v>1</v>
      </c>
      <c r="S1804" s="9">
        <v>1000</v>
      </c>
      <c r="T1804" s="10">
        <f t="shared" si="547"/>
        <v>500</v>
      </c>
      <c r="U1804" s="9">
        <v>0</v>
      </c>
      <c r="V1804" s="10">
        <f t="shared" si="548"/>
        <v>500</v>
      </c>
      <c r="W1804" s="4" t="s">
        <v>122</v>
      </c>
      <c r="X1804" s="2"/>
      <c r="Y1804" s="11">
        <v>4</v>
      </c>
      <c r="Z1804" s="12">
        <f t="shared" si="546"/>
        <v>1</v>
      </c>
      <c r="AA1804" s="4" t="s">
        <v>212</v>
      </c>
    </row>
    <row r="1805" spans="2:27">
      <c r="B1805" s="183">
        <f t="shared" si="532"/>
        <v>52</v>
      </c>
      <c r="C1805" s="107" t="str">
        <f t="shared" si="533"/>
        <v>ATK</v>
      </c>
      <c r="D1805" s="2" t="s">
        <v>5613</v>
      </c>
      <c r="E1805" s="3">
        <v>44188</v>
      </c>
      <c r="F1805" s="3">
        <v>44189</v>
      </c>
      <c r="G1805" s="108">
        <f t="shared" si="534"/>
        <v>12</v>
      </c>
      <c r="H1805" s="108" t="str">
        <f t="shared" si="535"/>
        <v>완료</v>
      </c>
      <c r="I1805" s="112" t="s">
        <v>218</v>
      </c>
      <c r="J1805" s="4" t="s">
        <v>243</v>
      </c>
      <c r="K1805" s="5" t="s">
        <v>243</v>
      </c>
      <c r="L1805" s="6" t="str">
        <f t="shared" si="545"/>
        <v>K5</v>
      </c>
      <c r="M1805" s="13" t="s">
        <v>5402</v>
      </c>
      <c r="N1805" s="7" t="s">
        <v>5614</v>
      </c>
      <c r="O1805" s="13" t="s">
        <v>339</v>
      </c>
      <c r="P1805" s="115"/>
      <c r="Q1805" s="8"/>
      <c r="R1805" s="2">
        <v>1</v>
      </c>
      <c r="S1805" s="9">
        <v>2500</v>
      </c>
      <c r="T1805" s="10">
        <f t="shared" si="547"/>
        <v>1250</v>
      </c>
      <c r="U1805" s="9">
        <v>30</v>
      </c>
      <c r="V1805" s="10">
        <f t="shared" si="548"/>
        <v>1220</v>
      </c>
      <c r="W1805" s="4" t="s">
        <v>122</v>
      </c>
      <c r="X1805" s="2"/>
      <c r="Y1805" s="11">
        <v>6</v>
      </c>
      <c r="Z1805" s="12">
        <f t="shared" si="546"/>
        <v>1</v>
      </c>
      <c r="AA1805" s="4" t="s">
        <v>174</v>
      </c>
    </row>
    <row r="1806" spans="2:27">
      <c r="B1806" s="183">
        <f t="shared" si="532"/>
        <v>52</v>
      </c>
      <c r="C1806" s="107" t="str">
        <f t="shared" si="533"/>
        <v>ATK</v>
      </c>
      <c r="D1806" s="2" t="s">
        <v>5615</v>
      </c>
      <c r="E1806" s="3">
        <v>44188</v>
      </c>
      <c r="F1806" s="3">
        <v>44188</v>
      </c>
      <c r="G1806" s="108">
        <f t="shared" si="534"/>
        <v>12</v>
      </c>
      <c r="H1806" s="108" t="str">
        <f t="shared" si="535"/>
        <v>완료</v>
      </c>
      <c r="I1806" s="112" t="s">
        <v>218</v>
      </c>
      <c r="J1806" s="4" t="s">
        <v>118</v>
      </c>
      <c r="K1806" s="5" t="s">
        <v>134</v>
      </c>
      <c r="L1806" s="6" t="str">
        <f t="shared" si="545"/>
        <v>2T1</v>
      </c>
      <c r="M1806" s="13" t="s">
        <v>1537</v>
      </c>
      <c r="N1806" s="7" t="s">
        <v>5616</v>
      </c>
      <c r="O1806" s="13" t="s">
        <v>5617</v>
      </c>
      <c r="P1806" s="115"/>
      <c r="Q1806" s="8"/>
      <c r="R1806" s="2">
        <v>2</v>
      </c>
      <c r="S1806" s="9">
        <v>1900</v>
      </c>
      <c r="T1806" s="10">
        <f t="shared" si="547"/>
        <v>1900</v>
      </c>
      <c r="U1806" s="9">
        <v>16</v>
      </c>
      <c r="V1806" s="10">
        <f t="shared" si="548"/>
        <v>1884</v>
      </c>
      <c r="W1806" s="4" t="s">
        <v>122</v>
      </c>
      <c r="X1806" s="2"/>
      <c r="Y1806" s="11">
        <v>3</v>
      </c>
      <c r="Z1806" s="12">
        <f t="shared" si="546"/>
        <v>0</v>
      </c>
      <c r="AA1806" s="4" t="s">
        <v>117</v>
      </c>
    </row>
    <row r="1807" spans="2:27">
      <c r="B1807" s="183">
        <f t="shared" si="532"/>
        <v>52</v>
      </c>
      <c r="C1807" s="107" t="str">
        <f t="shared" si="533"/>
        <v>ATK</v>
      </c>
      <c r="D1807" s="2" t="s">
        <v>541</v>
      </c>
      <c r="E1807" s="3">
        <v>44188</v>
      </c>
      <c r="F1807" s="3">
        <v>44188</v>
      </c>
      <c r="G1807" s="108">
        <f t="shared" si="534"/>
        <v>12</v>
      </c>
      <c r="H1807" s="108" t="str">
        <f t="shared" si="535"/>
        <v>완료</v>
      </c>
      <c r="I1807" s="112" t="s">
        <v>218</v>
      </c>
      <c r="J1807" s="4" t="s">
        <v>132</v>
      </c>
      <c r="K1807" s="5" t="s">
        <v>322</v>
      </c>
      <c r="L1807" s="6" t="str">
        <f t="shared" si="545"/>
        <v>3T1</v>
      </c>
      <c r="M1807" s="13" t="s">
        <v>542</v>
      </c>
      <c r="N1807" s="7" t="s">
        <v>4530</v>
      </c>
      <c r="O1807" s="13" t="s">
        <v>543</v>
      </c>
      <c r="P1807" s="115" t="s">
        <v>544</v>
      </c>
      <c r="Q1807" s="8" t="s">
        <v>5618</v>
      </c>
      <c r="R1807" s="2">
        <v>1</v>
      </c>
      <c r="S1807" s="9">
        <v>70</v>
      </c>
      <c r="T1807" s="10">
        <f t="shared" si="547"/>
        <v>35</v>
      </c>
      <c r="U1807" s="9">
        <v>1</v>
      </c>
      <c r="V1807" s="10">
        <f t="shared" si="548"/>
        <v>34</v>
      </c>
      <c r="W1807" s="4" t="s">
        <v>122</v>
      </c>
      <c r="X1807" s="2"/>
      <c r="Y1807" s="11">
        <v>3</v>
      </c>
      <c r="Z1807" s="12">
        <f t="shared" si="546"/>
        <v>0</v>
      </c>
      <c r="AA1807" s="4" t="s">
        <v>120</v>
      </c>
    </row>
    <row r="1808" spans="2:27">
      <c r="B1808" s="183">
        <f t="shared" si="532"/>
        <v>52</v>
      </c>
      <c r="C1808" s="107" t="str">
        <f t="shared" si="533"/>
        <v>ATC</v>
      </c>
      <c r="D1808" s="2" t="s">
        <v>23</v>
      </c>
      <c r="E1808" s="3">
        <v>44188</v>
      </c>
      <c r="F1808" s="3">
        <v>44189</v>
      </c>
      <c r="G1808" s="108">
        <f t="shared" si="534"/>
        <v>12</v>
      </c>
      <c r="H1808" s="108" t="str">
        <f t="shared" si="535"/>
        <v>완료</v>
      </c>
      <c r="I1808" s="112" t="s">
        <v>218</v>
      </c>
      <c r="J1808" s="4" t="s">
        <v>23</v>
      </c>
      <c r="K1808" s="5" t="s">
        <v>23</v>
      </c>
      <c r="L1808" s="6" t="str">
        <f t="shared" si="545"/>
        <v>ATC</v>
      </c>
      <c r="M1808" s="13" t="s">
        <v>256</v>
      </c>
      <c r="N1808" s="7" t="s">
        <v>4134</v>
      </c>
      <c r="O1808" s="13" t="s">
        <v>478</v>
      </c>
      <c r="P1808" s="115" t="s">
        <v>5620</v>
      </c>
      <c r="Q1808" s="8"/>
      <c r="R1808" s="2">
        <v>5</v>
      </c>
      <c r="S1808" s="9">
        <v>1600</v>
      </c>
      <c r="T1808" s="10">
        <f t="shared" si="547"/>
        <v>4000</v>
      </c>
      <c r="U1808" s="9">
        <v>10</v>
      </c>
      <c r="V1808" s="10">
        <f t="shared" si="548"/>
        <v>3990</v>
      </c>
      <c r="W1808" s="4" t="s">
        <v>122</v>
      </c>
      <c r="X1808" s="2"/>
      <c r="Y1808" s="11">
        <v>6</v>
      </c>
      <c r="Z1808" s="12">
        <f t="shared" si="546"/>
        <v>1</v>
      </c>
      <c r="AA1808" s="4" t="s">
        <v>27</v>
      </c>
    </row>
    <row r="1809" spans="2:30">
      <c r="B1809" s="183">
        <f t="shared" si="532"/>
        <v>53</v>
      </c>
      <c r="C1809" s="107" t="str">
        <f t="shared" si="533"/>
        <v>ATK</v>
      </c>
      <c r="D1809" s="2" t="s">
        <v>295</v>
      </c>
      <c r="E1809" s="3">
        <v>44193</v>
      </c>
      <c r="F1809" s="3">
        <v>44193</v>
      </c>
      <c r="G1809" s="108">
        <f t="shared" si="534"/>
        <v>12</v>
      </c>
      <c r="H1809" s="108" t="str">
        <f t="shared" si="535"/>
        <v>완료</v>
      </c>
      <c r="I1809" s="112" t="s">
        <v>218</v>
      </c>
      <c r="J1809" s="4" t="s">
        <v>132</v>
      </c>
      <c r="K1809" s="5" t="s">
        <v>133</v>
      </c>
      <c r="L1809" s="6" t="str">
        <f t="shared" si="545"/>
        <v>3T3</v>
      </c>
      <c r="M1809" s="13" t="s">
        <v>2941</v>
      </c>
      <c r="N1809" s="7" t="s">
        <v>5609</v>
      </c>
      <c r="O1809" s="13" t="s">
        <v>5604</v>
      </c>
      <c r="P1809" s="115" t="s">
        <v>5625</v>
      </c>
      <c r="Q1809" s="8"/>
      <c r="R1809" s="2">
        <v>1</v>
      </c>
      <c r="S1809" s="9">
        <v>1000</v>
      </c>
      <c r="T1809" s="10">
        <f t="shared" si="547"/>
        <v>500</v>
      </c>
      <c r="U1809" s="9">
        <v>0</v>
      </c>
      <c r="V1809" s="10">
        <f t="shared" si="548"/>
        <v>500</v>
      </c>
      <c r="W1809" s="4" t="s">
        <v>122</v>
      </c>
      <c r="X1809" s="2"/>
      <c r="Y1809" s="11">
        <v>3</v>
      </c>
      <c r="Z1809" s="12">
        <f t="shared" si="546"/>
        <v>0</v>
      </c>
      <c r="AA1809" s="4" t="s">
        <v>212</v>
      </c>
    </row>
    <row r="1810" spans="2:30">
      <c r="B1810" s="183">
        <f t="shared" si="532"/>
        <v>53</v>
      </c>
      <c r="C1810" s="107" t="str">
        <f t="shared" si="533"/>
        <v>ATK</v>
      </c>
      <c r="D1810" s="2" t="s">
        <v>295</v>
      </c>
      <c r="E1810" s="3">
        <v>44193</v>
      </c>
      <c r="F1810" s="3">
        <v>44193</v>
      </c>
      <c r="G1810" s="108">
        <f t="shared" si="534"/>
        <v>12</v>
      </c>
      <c r="H1810" s="108" t="str">
        <f t="shared" si="535"/>
        <v>완료</v>
      </c>
      <c r="I1810" s="112" t="s">
        <v>218</v>
      </c>
      <c r="J1810" s="4" t="s">
        <v>132</v>
      </c>
      <c r="K1810" s="5" t="s">
        <v>133</v>
      </c>
      <c r="L1810" s="6" t="str">
        <f t="shared" si="545"/>
        <v>3T3</v>
      </c>
      <c r="M1810" s="13" t="s">
        <v>2941</v>
      </c>
      <c r="N1810" s="7" t="s">
        <v>5622</v>
      </c>
      <c r="O1810" s="13" t="s">
        <v>5623</v>
      </c>
      <c r="P1810" s="115" t="s">
        <v>5624</v>
      </c>
      <c r="Q1810" s="8"/>
      <c r="R1810" s="2">
        <v>1</v>
      </c>
      <c r="S1810" s="9">
        <v>1000</v>
      </c>
      <c r="T1810" s="10">
        <f t="shared" ref="T1810:T1823" si="550">(S1810*50)/100*R1810</f>
        <v>500</v>
      </c>
      <c r="U1810" s="9">
        <v>20</v>
      </c>
      <c r="V1810" s="10">
        <f t="shared" ref="V1810:V1823" si="551">T1810-U1810</f>
        <v>480</v>
      </c>
      <c r="W1810" s="4" t="s">
        <v>122</v>
      </c>
      <c r="X1810" s="2"/>
      <c r="Y1810" s="11">
        <v>5</v>
      </c>
      <c r="Z1810" s="12">
        <f t="shared" ref="Z1810:Z1823" si="552">F1810-E1810</f>
        <v>0</v>
      </c>
      <c r="AA1810" s="4" t="s">
        <v>212</v>
      </c>
    </row>
    <row r="1811" spans="2:30">
      <c r="B1811" s="183">
        <f t="shared" si="532"/>
        <v>53</v>
      </c>
      <c r="C1811" s="107" t="str">
        <f t="shared" si="533"/>
        <v>ATK</v>
      </c>
      <c r="D1811" s="2" t="s">
        <v>353</v>
      </c>
      <c r="E1811" s="3">
        <v>44193</v>
      </c>
      <c r="F1811" s="3">
        <v>44193</v>
      </c>
      <c r="G1811" s="108">
        <f t="shared" si="534"/>
        <v>12</v>
      </c>
      <c r="H1811" s="108" t="str">
        <f t="shared" si="535"/>
        <v>Other</v>
      </c>
      <c r="I1811" s="112" t="s">
        <v>317</v>
      </c>
      <c r="J1811" s="4" t="s">
        <v>139</v>
      </c>
      <c r="K1811" s="5" t="s">
        <v>851</v>
      </c>
      <c r="L1811" s="6" t="str">
        <f t="shared" ref="L1811:L1823" si="553">LEFT(K1811,3)</f>
        <v>6T1</v>
      </c>
      <c r="M1811" s="13" t="s">
        <v>1374</v>
      </c>
      <c r="N1811" s="7" t="s">
        <v>5626</v>
      </c>
      <c r="O1811" s="13" t="s">
        <v>5627</v>
      </c>
      <c r="P1811" s="115" t="s">
        <v>5628</v>
      </c>
      <c r="Q1811" s="8" t="s">
        <v>5629</v>
      </c>
      <c r="R1811" s="2">
        <v>1</v>
      </c>
      <c r="S1811" s="9">
        <v>1000</v>
      </c>
      <c r="T1811" s="10">
        <f t="shared" si="550"/>
        <v>500</v>
      </c>
      <c r="U1811" s="9">
        <v>0</v>
      </c>
      <c r="V1811" s="10">
        <f t="shared" si="551"/>
        <v>500</v>
      </c>
      <c r="W1811" s="4" t="s">
        <v>122</v>
      </c>
      <c r="X1811" s="2"/>
      <c r="Y1811" s="11">
        <v>1</v>
      </c>
      <c r="Z1811" s="12">
        <f t="shared" si="552"/>
        <v>0</v>
      </c>
      <c r="AA1811" s="4" t="s">
        <v>120</v>
      </c>
    </row>
    <row r="1812" spans="2:30">
      <c r="B1812" s="183">
        <f t="shared" si="532"/>
        <v>53</v>
      </c>
      <c r="C1812" s="107" t="str">
        <f t="shared" si="533"/>
        <v>ATK</v>
      </c>
      <c r="D1812" s="2" t="s">
        <v>303</v>
      </c>
      <c r="E1812" s="3">
        <v>44193</v>
      </c>
      <c r="F1812" s="3">
        <v>44193</v>
      </c>
      <c r="G1812" s="108">
        <f t="shared" si="534"/>
        <v>12</v>
      </c>
      <c r="H1812" s="108" t="str">
        <f t="shared" si="535"/>
        <v>완료</v>
      </c>
      <c r="I1812" s="112" t="s">
        <v>218</v>
      </c>
      <c r="J1812" s="4" t="s">
        <v>243</v>
      </c>
      <c r="K1812" s="5" t="s">
        <v>243</v>
      </c>
      <c r="L1812" s="6" t="str">
        <f t="shared" si="553"/>
        <v>K5</v>
      </c>
      <c r="M1812" s="13"/>
      <c r="N1812" s="7" t="s">
        <v>5642</v>
      </c>
      <c r="O1812" s="13" t="s">
        <v>5630</v>
      </c>
      <c r="P1812" s="115" t="s">
        <v>5641</v>
      </c>
      <c r="Q1812" s="8" t="s">
        <v>5643</v>
      </c>
      <c r="R1812" s="2">
        <v>1</v>
      </c>
      <c r="S1812" s="9">
        <v>7000</v>
      </c>
      <c r="T1812" s="10">
        <f t="shared" si="550"/>
        <v>3500</v>
      </c>
      <c r="U1812" s="9">
        <v>2</v>
      </c>
      <c r="V1812" s="10">
        <f t="shared" si="551"/>
        <v>3498</v>
      </c>
      <c r="W1812" s="4" t="s">
        <v>122</v>
      </c>
      <c r="X1812" s="2"/>
      <c r="Y1812" s="11">
        <v>2</v>
      </c>
      <c r="Z1812" s="12">
        <f t="shared" si="552"/>
        <v>0</v>
      </c>
      <c r="AA1812" s="4" t="s">
        <v>120</v>
      </c>
    </row>
    <row r="1813" spans="2:30">
      <c r="B1813" s="183">
        <f t="shared" si="532"/>
        <v>53</v>
      </c>
      <c r="C1813" s="107" t="str">
        <f t="shared" si="533"/>
        <v>ATK</v>
      </c>
      <c r="D1813" s="2" t="s">
        <v>295</v>
      </c>
      <c r="E1813" s="3">
        <v>44193</v>
      </c>
      <c r="F1813" s="3">
        <v>44193</v>
      </c>
      <c r="G1813" s="108">
        <f t="shared" si="534"/>
        <v>12</v>
      </c>
      <c r="H1813" s="108" t="str">
        <f t="shared" si="535"/>
        <v>완료</v>
      </c>
      <c r="I1813" s="112" t="s">
        <v>218</v>
      </c>
      <c r="J1813" s="4" t="s">
        <v>132</v>
      </c>
      <c r="K1813" s="5" t="s">
        <v>133</v>
      </c>
      <c r="L1813" s="6" t="str">
        <f t="shared" si="553"/>
        <v>3T3</v>
      </c>
      <c r="M1813" s="13" t="s">
        <v>226</v>
      </c>
      <c r="N1813" s="7" t="s">
        <v>5631</v>
      </c>
      <c r="O1813" s="13" t="s">
        <v>5632</v>
      </c>
      <c r="P1813" s="115" t="s">
        <v>5633</v>
      </c>
      <c r="Q1813" s="8"/>
      <c r="R1813" s="2">
        <v>1</v>
      </c>
      <c r="S1813" s="9">
        <v>6000</v>
      </c>
      <c r="T1813" s="10">
        <f t="shared" si="550"/>
        <v>3000</v>
      </c>
      <c r="U1813" s="9">
        <v>50</v>
      </c>
      <c r="V1813" s="10">
        <f t="shared" si="551"/>
        <v>2950</v>
      </c>
      <c r="W1813" s="4" t="s">
        <v>122</v>
      </c>
      <c r="X1813" s="2"/>
      <c r="Y1813" s="11">
        <v>6</v>
      </c>
      <c r="Z1813" s="12">
        <f t="shared" si="552"/>
        <v>0</v>
      </c>
      <c r="AA1813" s="4" t="s">
        <v>27</v>
      </c>
    </row>
    <row r="1814" spans="2:30">
      <c r="B1814" s="183">
        <f t="shared" si="532"/>
        <v>53</v>
      </c>
      <c r="C1814" s="107" t="str">
        <f t="shared" si="533"/>
        <v>ATP</v>
      </c>
      <c r="D1814" s="2" t="s">
        <v>24</v>
      </c>
      <c r="E1814" s="3">
        <v>44189</v>
      </c>
      <c r="F1814" s="3">
        <v>44194</v>
      </c>
      <c r="G1814" s="108">
        <f t="shared" si="534"/>
        <v>12</v>
      </c>
      <c r="H1814" s="108" t="str">
        <f t="shared" si="535"/>
        <v>완료</v>
      </c>
      <c r="I1814" s="112" t="s">
        <v>218</v>
      </c>
      <c r="J1814" s="4" t="s">
        <v>24</v>
      </c>
      <c r="K1814" s="5" t="s">
        <v>24</v>
      </c>
      <c r="L1814" s="6" t="str">
        <f t="shared" si="553"/>
        <v>ATP</v>
      </c>
      <c r="M1814" s="13" t="s">
        <v>4536</v>
      </c>
      <c r="N1814" s="7" t="s">
        <v>4134</v>
      </c>
      <c r="O1814" s="13" t="s">
        <v>1782</v>
      </c>
      <c r="P1814" s="115" t="s">
        <v>5635</v>
      </c>
      <c r="Q1814" s="8"/>
      <c r="R1814" s="2">
        <v>1</v>
      </c>
      <c r="S1814" s="9">
        <v>4500</v>
      </c>
      <c r="T1814" s="10">
        <f t="shared" si="550"/>
        <v>2250</v>
      </c>
      <c r="U1814" s="9">
        <v>0</v>
      </c>
      <c r="V1814" s="10">
        <f t="shared" si="551"/>
        <v>2250</v>
      </c>
      <c r="W1814" s="4" t="s">
        <v>122</v>
      </c>
      <c r="X1814" s="2"/>
      <c r="Y1814" s="11">
        <v>4</v>
      </c>
      <c r="Z1814" s="12">
        <f t="shared" si="552"/>
        <v>5</v>
      </c>
      <c r="AA1814" s="4" t="s">
        <v>27</v>
      </c>
    </row>
    <row r="1815" spans="2:30">
      <c r="B1815" s="183">
        <f t="shared" si="532"/>
        <v>53</v>
      </c>
      <c r="C1815" s="107" t="str">
        <f t="shared" si="533"/>
        <v>ATP</v>
      </c>
      <c r="D1815" s="2" t="s">
        <v>24</v>
      </c>
      <c r="E1815" s="3">
        <v>44189</v>
      </c>
      <c r="F1815" s="3">
        <v>44194</v>
      </c>
      <c r="G1815" s="108">
        <f t="shared" si="534"/>
        <v>12</v>
      </c>
      <c r="H1815" s="108" t="str">
        <f t="shared" si="535"/>
        <v>완료</v>
      </c>
      <c r="I1815" s="112" t="s">
        <v>218</v>
      </c>
      <c r="J1815" s="4" t="s">
        <v>24</v>
      </c>
      <c r="K1815" s="5" t="s">
        <v>24</v>
      </c>
      <c r="L1815" s="6" t="str">
        <f t="shared" si="553"/>
        <v>ATP</v>
      </c>
      <c r="M1815" s="13" t="s">
        <v>4536</v>
      </c>
      <c r="N1815" s="7" t="s">
        <v>4134</v>
      </c>
      <c r="O1815" s="13" t="s">
        <v>1782</v>
      </c>
      <c r="P1815" s="115" t="s">
        <v>5636</v>
      </c>
      <c r="Q1815" s="8"/>
      <c r="R1815" s="2">
        <v>1</v>
      </c>
      <c r="S1815" s="9">
        <v>4500</v>
      </c>
      <c r="T1815" s="10">
        <f t="shared" si="550"/>
        <v>2250</v>
      </c>
      <c r="U1815" s="9"/>
      <c r="V1815" s="10">
        <f t="shared" si="551"/>
        <v>2250</v>
      </c>
      <c r="W1815" s="4" t="s">
        <v>122</v>
      </c>
      <c r="X1815" s="2"/>
      <c r="Y1815" s="11">
        <v>4</v>
      </c>
      <c r="Z1815" s="12">
        <f t="shared" si="552"/>
        <v>5</v>
      </c>
      <c r="AA1815" s="4" t="s">
        <v>27</v>
      </c>
    </row>
    <row r="1816" spans="2:30">
      <c r="B1816" s="183">
        <f t="shared" si="532"/>
        <v>53</v>
      </c>
      <c r="C1816" s="107" t="str">
        <f t="shared" si="533"/>
        <v>ATP</v>
      </c>
      <c r="D1816" s="2" t="s">
        <v>24</v>
      </c>
      <c r="E1816" s="3">
        <v>44189</v>
      </c>
      <c r="F1816" s="3">
        <v>44194</v>
      </c>
      <c r="G1816" s="108">
        <f t="shared" si="534"/>
        <v>12</v>
      </c>
      <c r="H1816" s="108" t="str">
        <f t="shared" si="535"/>
        <v>완료</v>
      </c>
      <c r="I1816" s="112" t="s">
        <v>218</v>
      </c>
      <c r="J1816" s="4" t="s">
        <v>24</v>
      </c>
      <c r="K1816" s="5" t="s">
        <v>24</v>
      </c>
      <c r="L1816" s="6" t="str">
        <f t="shared" si="553"/>
        <v>ATP</v>
      </c>
      <c r="M1816" s="13" t="s">
        <v>4536</v>
      </c>
      <c r="N1816" s="7" t="s">
        <v>4134</v>
      </c>
      <c r="O1816" s="13" t="s">
        <v>1782</v>
      </c>
      <c r="P1816" s="115" t="s">
        <v>5637</v>
      </c>
      <c r="Q1816" s="8"/>
      <c r="R1816" s="2">
        <v>1</v>
      </c>
      <c r="S1816" s="9">
        <v>4500</v>
      </c>
      <c r="T1816" s="10">
        <f t="shared" si="550"/>
        <v>2250</v>
      </c>
      <c r="U1816" s="9"/>
      <c r="V1816" s="10">
        <f t="shared" si="551"/>
        <v>2250</v>
      </c>
      <c r="W1816" s="4" t="s">
        <v>122</v>
      </c>
      <c r="X1816" s="2"/>
      <c r="Y1816" s="11">
        <v>4</v>
      </c>
      <c r="Z1816" s="12">
        <f t="shared" si="552"/>
        <v>5</v>
      </c>
      <c r="AA1816" s="4" t="s">
        <v>27</v>
      </c>
    </row>
    <row r="1817" spans="2:30">
      <c r="B1817" s="183">
        <f t="shared" si="532"/>
        <v>53</v>
      </c>
      <c r="C1817" s="107" t="str">
        <f t="shared" si="533"/>
        <v>ATP</v>
      </c>
      <c r="D1817" s="2" t="s">
        <v>24</v>
      </c>
      <c r="E1817" s="3">
        <v>44189</v>
      </c>
      <c r="F1817" s="3">
        <v>44194</v>
      </c>
      <c r="G1817" s="108">
        <f t="shared" si="534"/>
        <v>12</v>
      </c>
      <c r="H1817" s="108" t="str">
        <f t="shared" si="535"/>
        <v>완료</v>
      </c>
      <c r="I1817" s="112" t="s">
        <v>218</v>
      </c>
      <c r="J1817" s="4" t="s">
        <v>24</v>
      </c>
      <c r="K1817" s="5" t="s">
        <v>24</v>
      </c>
      <c r="L1817" s="6" t="str">
        <f t="shared" si="553"/>
        <v>ATP</v>
      </c>
      <c r="M1817" s="13" t="s">
        <v>4536</v>
      </c>
      <c r="N1817" s="7" t="s">
        <v>4134</v>
      </c>
      <c r="O1817" s="13" t="s">
        <v>1782</v>
      </c>
      <c r="P1817" s="115" t="s">
        <v>5638</v>
      </c>
      <c r="Q1817" s="8"/>
      <c r="R1817" s="2">
        <v>1</v>
      </c>
      <c r="S1817" s="9">
        <v>4500</v>
      </c>
      <c r="T1817" s="10">
        <f t="shared" si="550"/>
        <v>2250</v>
      </c>
      <c r="U1817" s="9"/>
      <c r="V1817" s="10">
        <f t="shared" si="551"/>
        <v>2250</v>
      </c>
      <c r="W1817" s="4" t="s">
        <v>122</v>
      </c>
      <c r="X1817" s="2"/>
      <c r="Y1817" s="11">
        <v>4</v>
      </c>
      <c r="Z1817" s="12">
        <f t="shared" si="552"/>
        <v>5</v>
      </c>
      <c r="AA1817" s="4" t="s">
        <v>174</v>
      </c>
    </row>
    <row r="1818" spans="2:30">
      <c r="B1818" s="183">
        <f t="shared" si="532"/>
        <v>53</v>
      </c>
      <c r="C1818" s="107" t="str">
        <f t="shared" si="533"/>
        <v>ATP</v>
      </c>
      <c r="D1818" s="2" t="s">
        <v>24</v>
      </c>
      <c r="E1818" s="3">
        <v>44189</v>
      </c>
      <c r="F1818" s="3">
        <v>44194</v>
      </c>
      <c r="G1818" s="108">
        <f t="shared" si="534"/>
        <v>12</v>
      </c>
      <c r="H1818" s="108" t="str">
        <f t="shared" si="535"/>
        <v>완료</v>
      </c>
      <c r="I1818" s="112" t="s">
        <v>218</v>
      </c>
      <c r="J1818" s="4" t="s">
        <v>24</v>
      </c>
      <c r="K1818" s="5" t="s">
        <v>24</v>
      </c>
      <c r="L1818" s="6" t="str">
        <f t="shared" si="553"/>
        <v>ATP</v>
      </c>
      <c r="M1818" s="13" t="s">
        <v>4536</v>
      </c>
      <c r="N1818" s="7" t="s">
        <v>4134</v>
      </c>
      <c r="O1818" s="13" t="s">
        <v>1782</v>
      </c>
      <c r="P1818" s="115" t="s">
        <v>5634</v>
      </c>
      <c r="Q1818" s="8"/>
      <c r="R1818" s="2">
        <v>1</v>
      </c>
      <c r="S1818" s="9">
        <v>4500</v>
      </c>
      <c r="T1818" s="10">
        <f t="shared" si="550"/>
        <v>2250</v>
      </c>
      <c r="U1818" s="9"/>
      <c r="V1818" s="10">
        <f t="shared" si="551"/>
        <v>2250</v>
      </c>
      <c r="W1818" s="4" t="s">
        <v>122</v>
      </c>
      <c r="X1818" s="2"/>
      <c r="Y1818" s="11">
        <v>4</v>
      </c>
      <c r="Z1818" s="12">
        <f t="shared" si="552"/>
        <v>5</v>
      </c>
      <c r="AA1818" s="4" t="s">
        <v>174</v>
      </c>
    </row>
    <row r="1819" spans="2:30">
      <c r="B1819" s="183">
        <f t="shared" si="532"/>
        <v>53</v>
      </c>
      <c r="C1819" s="107" t="str">
        <f t="shared" si="533"/>
        <v>ATK</v>
      </c>
      <c r="D1819" s="2" t="s">
        <v>1394</v>
      </c>
      <c r="E1819" s="3">
        <v>44189</v>
      </c>
      <c r="F1819" s="3">
        <v>44193</v>
      </c>
      <c r="G1819" s="108">
        <f t="shared" si="534"/>
        <v>12</v>
      </c>
      <c r="H1819" s="108" t="str">
        <f t="shared" si="535"/>
        <v>완료</v>
      </c>
      <c r="I1819" s="112" t="s">
        <v>218</v>
      </c>
      <c r="J1819" s="4" t="s">
        <v>118</v>
      </c>
      <c r="K1819" s="5" t="s">
        <v>134</v>
      </c>
      <c r="L1819" s="6" t="s">
        <v>5639</v>
      </c>
      <c r="M1819" s="13" t="s">
        <v>4115</v>
      </c>
      <c r="N1819" s="7" t="s">
        <v>4116</v>
      </c>
      <c r="O1819" s="13" t="s">
        <v>4117</v>
      </c>
      <c r="P1819" s="115" t="s">
        <v>5640</v>
      </c>
      <c r="Q1819" s="8"/>
      <c r="R1819" s="2">
        <v>1</v>
      </c>
      <c r="S1819" s="9">
        <v>2500</v>
      </c>
      <c r="T1819" s="10">
        <f t="shared" si="550"/>
        <v>1250</v>
      </c>
      <c r="U1819" s="9">
        <v>2</v>
      </c>
      <c r="V1819" s="10">
        <f t="shared" si="551"/>
        <v>1248</v>
      </c>
      <c r="W1819" s="4" t="s">
        <v>122</v>
      </c>
      <c r="X1819" s="2"/>
      <c r="Y1819" s="11">
        <v>1</v>
      </c>
      <c r="Z1819" s="12">
        <f t="shared" si="552"/>
        <v>4</v>
      </c>
      <c r="AA1819" s="4" t="s">
        <v>120</v>
      </c>
    </row>
    <row r="1820" spans="2:30">
      <c r="B1820" s="183">
        <f t="shared" si="532"/>
        <v>53</v>
      </c>
      <c r="C1820" s="107" t="str">
        <f t="shared" si="533"/>
        <v>ATK</v>
      </c>
      <c r="D1820" s="2" t="s">
        <v>5644</v>
      </c>
      <c r="E1820" s="3">
        <v>44193</v>
      </c>
      <c r="F1820" s="3">
        <v>44194</v>
      </c>
      <c r="G1820" s="108">
        <f t="shared" si="534"/>
        <v>12</v>
      </c>
      <c r="H1820" s="108" t="str">
        <f t="shared" si="535"/>
        <v>완료</v>
      </c>
      <c r="I1820" s="112" t="s">
        <v>218</v>
      </c>
      <c r="J1820" s="4" t="s">
        <v>121</v>
      </c>
      <c r="K1820" s="5" t="s">
        <v>229</v>
      </c>
      <c r="L1820" s="6" t="str">
        <f t="shared" si="553"/>
        <v>5T2</v>
      </c>
      <c r="M1820" s="13" t="s">
        <v>5647</v>
      </c>
      <c r="N1820" s="7" t="s">
        <v>5646</v>
      </c>
      <c r="O1820" s="13" t="s">
        <v>5645</v>
      </c>
      <c r="P1820" s="115" t="s">
        <v>5648</v>
      </c>
      <c r="Q1820" s="8"/>
      <c r="R1820" s="2">
        <v>1</v>
      </c>
      <c r="S1820" s="9">
        <v>4000</v>
      </c>
      <c r="T1820" s="10">
        <f t="shared" si="550"/>
        <v>2000</v>
      </c>
      <c r="U1820" s="9">
        <v>6</v>
      </c>
      <c r="V1820" s="10">
        <f t="shared" si="551"/>
        <v>1994</v>
      </c>
      <c r="W1820" s="4" t="s">
        <v>122</v>
      </c>
      <c r="X1820" s="2"/>
      <c r="Y1820" s="11">
        <v>2</v>
      </c>
      <c r="Z1820" s="12">
        <f t="shared" si="552"/>
        <v>1</v>
      </c>
      <c r="AA1820" s="4" t="s">
        <v>117</v>
      </c>
    </row>
    <row r="1821" spans="2:30">
      <c r="B1821" s="183">
        <f t="shared" si="532"/>
        <v>53</v>
      </c>
      <c r="C1821" s="107" t="str">
        <f t="shared" si="533"/>
        <v>ATK</v>
      </c>
      <c r="D1821" s="2" t="s">
        <v>5649</v>
      </c>
      <c r="E1821" s="3">
        <v>44194</v>
      </c>
      <c r="F1821" s="3">
        <v>44194</v>
      </c>
      <c r="G1821" s="108">
        <f t="shared" si="534"/>
        <v>12</v>
      </c>
      <c r="H1821" s="108" t="str">
        <f t="shared" si="535"/>
        <v>완료</v>
      </c>
      <c r="I1821" s="112" t="s">
        <v>218</v>
      </c>
      <c r="J1821" s="4" t="s">
        <v>118</v>
      </c>
      <c r="K1821" s="5" t="s">
        <v>119</v>
      </c>
      <c r="L1821" s="6" t="str">
        <f t="shared" si="553"/>
        <v>2T3</v>
      </c>
      <c r="M1821" s="13" t="s">
        <v>5650</v>
      </c>
      <c r="N1821" s="7" t="s">
        <v>5651</v>
      </c>
      <c r="O1821" s="13" t="s">
        <v>1256</v>
      </c>
      <c r="P1821" s="115"/>
      <c r="Q1821" s="8"/>
      <c r="R1821" s="2">
        <v>5</v>
      </c>
      <c r="S1821" s="9">
        <v>1900</v>
      </c>
      <c r="T1821" s="10">
        <f t="shared" si="550"/>
        <v>4750</v>
      </c>
      <c r="U1821" s="9">
        <v>10</v>
      </c>
      <c r="V1821" s="10">
        <f t="shared" si="551"/>
        <v>4740</v>
      </c>
      <c r="W1821" s="4" t="s">
        <v>122</v>
      </c>
      <c r="X1821" s="2"/>
      <c r="Y1821" s="11">
        <v>4</v>
      </c>
      <c r="Z1821" s="12">
        <f t="shared" si="552"/>
        <v>0</v>
      </c>
      <c r="AA1821" s="4" t="s">
        <v>117</v>
      </c>
    </row>
    <row r="1822" spans="2:30">
      <c r="B1822" s="183">
        <f t="shared" si="532"/>
        <v>53</v>
      </c>
      <c r="C1822" s="107" t="str">
        <f t="shared" si="533"/>
        <v>ATK</v>
      </c>
      <c r="D1822" s="2" t="s">
        <v>5652</v>
      </c>
      <c r="E1822" s="3">
        <v>44194</v>
      </c>
      <c r="F1822" s="3">
        <v>44194</v>
      </c>
      <c r="G1822" s="108">
        <f t="shared" si="534"/>
        <v>12</v>
      </c>
      <c r="H1822" s="108" t="str">
        <f t="shared" si="535"/>
        <v>수리불가</v>
      </c>
      <c r="I1822" s="112" t="s">
        <v>601</v>
      </c>
      <c r="J1822" s="4" t="s">
        <v>132</v>
      </c>
      <c r="K1822" s="5" t="s">
        <v>322</v>
      </c>
      <c r="L1822" s="6" t="str">
        <f t="shared" si="553"/>
        <v>3T1</v>
      </c>
      <c r="M1822" s="7" t="s">
        <v>2470</v>
      </c>
      <c r="N1822" s="13"/>
      <c r="O1822" s="115" t="s">
        <v>5653</v>
      </c>
      <c r="P1822" s="8"/>
      <c r="Q1822" s="2"/>
      <c r="R1822" s="2">
        <v>1</v>
      </c>
      <c r="S1822" s="10">
        <v>20</v>
      </c>
      <c r="T1822" s="10">
        <f t="shared" si="550"/>
        <v>10</v>
      </c>
      <c r="U1822" s="10">
        <v>0</v>
      </c>
      <c r="V1822" s="10">
        <f t="shared" si="551"/>
        <v>10</v>
      </c>
      <c r="W1822" s="4" t="s">
        <v>122</v>
      </c>
      <c r="X1822" s="11"/>
      <c r="Y1822" s="12">
        <v>1</v>
      </c>
      <c r="Z1822" s="12">
        <f t="shared" si="552"/>
        <v>0</v>
      </c>
      <c r="AA1822" s="4" t="s">
        <v>117</v>
      </c>
      <c r="AB1822" s="176"/>
      <c r="AC1822" s="199"/>
      <c r="AD1822"/>
    </row>
    <row r="1823" spans="2:30">
      <c r="B1823" s="183">
        <f t="shared" si="532"/>
        <v>53</v>
      </c>
      <c r="C1823" s="107" t="str">
        <f t="shared" si="533"/>
        <v>ATK</v>
      </c>
      <c r="D1823" s="2" t="s">
        <v>764</v>
      </c>
      <c r="E1823" s="3">
        <v>44194</v>
      </c>
      <c r="F1823" s="3">
        <v>44195</v>
      </c>
      <c r="G1823" s="108">
        <f t="shared" si="534"/>
        <v>12</v>
      </c>
      <c r="H1823" s="108" t="str">
        <f t="shared" si="535"/>
        <v>완료</v>
      </c>
      <c r="I1823" s="112" t="s">
        <v>218</v>
      </c>
      <c r="J1823" s="4" t="s">
        <v>118</v>
      </c>
      <c r="K1823" s="5" t="s">
        <v>119</v>
      </c>
      <c r="L1823" s="6" t="str">
        <f t="shared" si="553"/>
        <v>2T3</v>
      </c>
      <c r="M1823" s="13"/>
      <c r="N1823" s="7" t="s">
        <v>5655</v>
      </c>
      <c r="O1823" s="13" t="s">
        <v>5654</v>
      </c>
      <c r="P1823" s="115" t="s">
        <v>5657</v>
      </c>
      <c r="Q1823" s="8" t="s">
        <v>5656</v>
      </c>
      <c r="R1823" s="2">
        <v>1</v>
      </c>
      <c r="S1823" s="9">
        <v>4200</v>
      </c>
      <c r="T1823" s="10">
        <f t="shared" si="550"/>
        <v>2100</v>
      </c>
      <c r="U1823" s="9">
        <v>5</v>
      </c>
      <c r="V1823" s="10">
        <f t="shared" si="551"/>
        <v>2095</v>
      </c>
      <c r="W1823" s="4" t="s">
        <v>122</v>
      </c>
      <c r="X1823" s="2"/>
      <c r="Y1823" s="11">
        <v>11</v>
      </c>
      <c r="Z1823" s="12">
        <f t="shared" si="552"/>
        <v>1</v>
      </c>
      <c r="AA1823" s="4" t="s">
        <v>120</v>
      </c>
    </row>
  </sheetData>
  <autoFilter ref="A1:AA1823" xr:uid="{00000000-0009-0000-0000-000000000000}"/>
  <phoneticPr fontId="3" type="noConversion"/>
  <conditionalFormatting sqref="I439:I447 I460:I462 I470:I471 I473:I476 I450:I458 I488:I491 I493 I495:I499 I504:I505 I514:I529 I531:I532 I478:I486 I544:I551 I553:I557 I559:I570 I572:I584 I586:I590 I592:I594 I596:I600 I616:I630 I633 I635:I637 I603:I614 I642:I643 I645:I646 I648:I653 I666:I669 I677:I681 I683:I692 I724:I729 I732:I737 I739:I747 I749:I755 I757:I758 I760:I762 I769:I770 I773:I780 I783:I789 I808 I765:I767 I810:I814 I816 I863:I864 I843:I856 I867:I873 I876:I878 I881:I883 I885 I887:I888 I893:I894 I896 I898 I923 I928:I929 I931 I933:I942 I944:I946 I948:I956 I901:I919 I958:I961 I964:I976 I978:I984 I986:I1005 I1007 I1009:I1021 I1032 I1023:I1030 I1043:I1048 I1037:I1041 I1050:I1051 I535:I542 I695:I721 I819:I830 I833:I841 I858:I860 I1056:I1075 I1077:I1084 I1087 I1089:I1091 I1093:I1099 I1136 I1138:I1143 I1145:I1147 I1153:I1157 I1161:I1163 I1167:I1169 I1171:I1177 I1181:I1190 I1192:I1199 I1203 I1216:I1238 I1263 I1265 I1206:I1213 I1280:I1282 I1273:I1278 I1268:I1271 I1306:I1310 I1313:I1324 I1284:I1304 I1339:I1340 I1343:I1346 I1351:I1353 I1355 I1357:I1361 I1364 I1:I437 I507:I511 I655:I663 I791:I806 I1118:I1134 I1378:I1402 I1407:I1411 I1425:I1426 I1241:I1258 I1413:I1423 I1428:I1447 I1366:I1376 I1449:I1452 I1454:I1457 I1459:I1465 I1482:I1483 I1486 I1488 I1490:I1497 I1467:I1480 I1500:I1511 I1514 I1517:I1520 I1523:I1529 I1531 I1536:I1550 I1552:I1554 I1556:I1557 I1559:I1570 I1574 I1577:I1578 I1581:I1582 I1584:I1596 I1599 I1625:I1628 I1635:I1641 I1644:I1645 I1650:I1651 I1326:I1334 I1657:I1660 I1672 I1678:I1679 I1683 I1692:I1694 I1101:I1116 I1729 I1736:I1741 I1744 I1749 I1696:I1702 I1762:I1766 I1731:I1733 I1752:I1755 I1774:I1780 I1783:I1784 I1787:I1789 I1805:I1808 I1797:I1802 I1768:I1769 I1757:I1759 I1746 I1714:I1722 I1689:I1690 I1685:I1686 I1665:I1669 I1533:I1534 I1811:I1048576">
    <cfRule type="cellIs" dxfId="1691" priority="2053" operator="equal">
      <formula>"폐기"</formula>
    </cfRule>
    <cfRule type="cellIs" dxfId="1690" priority="2054" operator="equal">
      <formula>"외주수리불가"</formula>
    </cfRule>
    <cfRule type="cellIs" dxfId="1689" priority="2055" operator="equal">
      <formula>"외주수리중"</formula>
    </cfRule>
    <cfRule type="cellIs" dxfId="1688" priority="2056" operator="equal">
      <formula>"수리중"</formula>
    </cfRule>
    <cfRule type="cellIs" dxfId="1687" priority="2057" operator="equal">
      <formula>"수리불가"</formula>
    </cfRule>
  </conditionalFormatting>
  <conditionalFormatting sqref="I438">
    <cfRule type="cellIs" dxfId="1686" priority="2048" operator="equal">
      <formula>"폐기"</formula>
    </cfRule>
    <cfRule type="cellIs" dxfId="1685" priority="2049" operator="equal">
      <formula>"외주수리불가"</formula>
    </cfRule>
    <cfRule type="cellIs" dxfId="1684" priority="2050" operator="equal">
      <formula>"외주수리중"</formula>
    </cfRule>
    <cfRule type="cellIs" dxfId="1683" priority="2051" operator="equal">
      <formula>"수리중"</formula>
    </cfRule>
    <cfRule type="cellIs" dxfId="1682" priority="2052" operator="equal">
      <formula>"수리불가"</formula>
    </cfRule>
  </conditionalFormatting>
  <conditionalFormatting sqref="I448:I449">
    <cfRule type="cellIs" dxfId="1681" priority="2038" operator="equal">
      <formula>"폐기"</formula>
    </cfRule>
    <cfRule type="cellIs" dxfId="1680" priority="2039" operator="equal">
      <formula>"외주수리불가"</formula>
    </cfRule>
    <cfRule type="cellIs" dxfId="1679" priority="2040" operator="equal">
      <formula>"외주수리중"</formula>
    </cfRule>
    <cfRule type="cellIs" dxfId="1678" priority="2041" operator="equal">
      <formula>"수리중"</formula>
    </cfRule>
    <cfRule type="cellIs" dxfId="1677" priority="2042" operator="equal">
      <formula>"수리불가"</formula>
    </cfRule>
  </conditionalFormatting>
  <conditionalFormatting sqref="I387">
    <cfRule type="cellIs" dxfId="1676" priority="2036" operator="equal">
      <formula>"외주수리완료"</formula>
    </cfRule>
    <cfRule type="cellIs" dxfId="1675" priority="2037" operator="equal">
      <formula>"수리완료"</formula>
    </cfRule>
  </conditionalFormatting>
  <conditionalFormatting sqref="I459">
    <cfRule type="cellIs" dxfId="1674" priority="2026" operator="equal">
      <formula>"폐기"</formula>
    </cfRule>
    <cfRule type="cellIs" dxfId="1673" priority="2027" operator="equal">
      <formula>"외주수리불가"</formula>
    </cfRule>
    <cfRule type="cellIs" dxfId="1672" priority="2028" operator="equal">
      <formula>"외주수리중"</formula>
    </cfRule>
    <cfRule type="cellIs" dxfId="1671" priority="2029" operator="equal">
      <formula>"수리중"</formula>
    </cfRule>
    <cfRule type="cellIs" dxfId="1670" priority="2030" operator="equal">
      <formula>"수리불가"</formula>
    </cfRule>
  </conditionalFormatting>
  <conditionalFormatting sqref="I463">
    <cfRule type="cellIs" dxfId="1669" priority="2011" operator="equal">
      <formula>"폐기"</formula>
    </cfRule>
    <cfRule type="cellIs" dxfId="1668" priority="2012" operator="equal">
      <formula>"외주수리불가"</formula>
    </cfRule>
    <cfRule type="cellIs" dxfId="1667" priority="2013" operator="equal">
      <formula>"외주수리중"</formula>
    </cfRule>
    <cfRule type="cellIs" dxfId="1666" priority="2014" operator="equal">
      <formula>"수리중"</formula>
    </cfRule>
    <cfRule type="cellIs" dxfId="1665" priority="2015" operator="equal">
      <formula>"수리불가"</formula>
    </cfRule>
  </conditionalFormatting>
  <conditionalFormatting sqref="I464">
    <cfRule type="cellIs" dxfId="1664" priority="2006" operator="equal">
      <formula>"폐기"</formula>
    </cfRule>
    <cfRule type="cellIs" dxfId="1663" priority="2007" operator="equal">
      <formula>"외주수리불가"</formula>
    </cfRule>
    <cfRule type="cellIs" dxfId="1662" priority="2008" operator="equal">
      <formula>"외주수리중"</formula>
    </cfRule>
    <cfRule type="cellIs" dxfId="1661" priority="2009" operator="equal">
      <formula>"수리중"</formula>
    </cfRule>
    <cfRule type="cellIs" dxfId="1660" priority="2010" operator="equal">
      <formula>"수리불가"</formula>
    </cfRule>
  </conditionalFormatting>
  <conditionalFormatting sqref="I465">
    <cfRule type="cellIs" dxfId="1659" priority="2001" operator="equal">
      <formula>"폐기"</formula>
    </cfRule>
    <cfRule type="cellIs" dxfId="1658" priority="2002" operator="equal">
      <formula>"외주수리불가"</formula>
    </cfRule>
    <cfRule type="cellIs" dxfId="1657" priority="2003" operator="equal">
      <formula>"외주수리중"</formula>
    </cfRule>
    <cfRule type="cellIs" dxfId="1656" priority="2004" operator="equal">
      <formula>"수리중"</formula>
    </cfRule>
    <cfRule type="cellIs" dxfId="1655" priority="2005" operator="equal">
      <formula>"수리불가"</formula>
    </cfRule>
  </conditionalFormatting>
  <conditionalFormatting sqref="I466">
    <cfRule type="cellIs" dxfId="1654" priority="1996" operator="equal">
      <formula>"폐기"</formula>
    </cfRule>
    <cfRule type="cellIs" dxfId="1653" priority="1997" operator="equal">
      <formula>"외주수리불가"</formula>
    </cfRule>
    <cfRule type="cellIs" dxfId="1652" priority="1998" operator="equal">
      <formula>"외주수리중"</formula>
    </cfRule>
    <cfRule type="cellIs" dxfId="1651" priority="1999" operator="equal">
      <formula>"수리중"</formula>
    </cfRule>
    <cfRule type="cellIs" dxfId="1650" priority="2000" operator="equal">
      <formula>"수리불가"</formula>
    </cfRule>
  </conditionalFormatting>
  <conditionalFormatting sqref="I468">
    <cfRule type="cellIs" dxfId="1649" priority="1986" operator="equal">
      <formula>"폐기"</formula>
    </cfRule>
    <cfRule type="cellIs" dxfId="1648" priority="1987" operator="equal">
      <formula>"외주수리불가"</formula>
    </cfRule>
    <cfRule type="cellIs" dxfId="1647" priority="1988" operator="equal">
      <formula>"외주수리중"</formula>
    </cfRule>
    <cfRule type="cellIs" dxfId="1646" priority="1989" operator="equal">
      <formula>"수리중"</formula>
    </cfRule>
    <cfRule type="cellIs" dxfId="1645" priority="1990" operator="equal">
      <formula>"수리불가"</formula>
    </cfRule>
  </conditionalFormatting>
  <conditionalFormatting sqref="I469">
    <cfRule type="cellIs" dxfId="1644" priority="1981" operator="equal">
      <formula>"폐기"</formula>
    </cfRule>
    <cfRule type="cellIs" dxfId="1643" priority="1982" operator="equal">
      <formula>"외주수리불가"</formula>
    </cfRule>
    <cfRule type="cellIs" dxfId="1642" priority="1983" operator="equal">
      <formula>"외주수리중"</formula>
    </cfRule>
    <cfRule type="cellIs" dxfId="1641" priority="1984" operator="equal">
      <formula>"수리중"</formula>
    </cfRule>
    <cfRule type="cellIs" dxfId="1640" priority="1985" operator="equal">
      <formula>"수리불가"</formula>
    </cfRule>
  </conditionalFormatting>
  <conditionalFormatting sqref="I472">
    <cfRule type="cellIs" dxfId="1639" priority="1976" operator="equal">
      <formula>"폐기"</formula>
    </cfRule>
    <cfRule type="cellIs" dxfId="1638" priority="1977" operator="equal">
      <formula>"외주수리불가"</formula>
    </cfRule>
    <cfRule type="cellIs" dxfId="1637" priority="1978" operator="equal">
      <formula>"외주수리중"</formula>
    </cfRule>
    <cfRule type="cellIs" dxfId="1636" priority="1979" operator="equal">
      <formula>"수리중"</formula>
    </cfRule>
    <cfRule type="cellIs" dxfId="1635" priority="1980" operator="equal">
      <formula>"수리불가"</formula>
    </cfRule>
  </conditionalFormatting>
  <conditionalFormatting sqref="I467">
    <cfRule type="cellIs" dxfId="1634" priority="1971" operator="equal">
      <formula>"폐기"</formula>
    </cfRule>
    <cfRule type="cellIs" dxfId="1633" priority="1972" operator="equal">
      <formula>"외주수리불가"</formula>
    </cfRule>
    <cfRule type="cellIs" dxfId="1632" priority="1973" operator="equal">
      <formula>"외주수리중"</formula>
    </cfRule>
    <cfRule type="cellIs" dxfId="1631" priority="1974" operator="equal">
      <formula>"수리중"</formula>
    </cfRule>
    <cfRule type="cellIs" dxfId="1630" priority="1975" operator="equal">
      <formula>"수리불가"</formula>
    </cfRule>
  </conditionalFormatting>
  <conditionalFormatting sqref="I477">
    <cfRule type="cellIs" dxfId="1629" priority="1961" operator="equal">
      <formula>"폐기"</formula>
    </cfRule>
    <cfRule type="cellIs" dxfId="1628" priority="1962" operator="equal">
      <formula>"외주수리불가"</formula>
    </cfRule>
    <cfRule type="cellIs" dxfId="1627" priority="1963" operator="equal">
      <formula>"외주수리중"</formula>
    </cfRule>
    <cfRule type="cellIs" dxfId="1626" priority="1964" operator="equal">
      <formula>"수리중"</formula>
    </cfRule>
    <cfRule type="cellIs" dxfId="1625" priority="1965" operator="equal">
      <formula>"수리불가"</formula>
    </cfRule>
  </conditionalFormatting>
  <conditionalFormatting sqref="I487">
    <cfRule type="cellIs" dxfId="1624" priority="1931" operator="equal">
      <formula>"폐기"</formula>
    </cfRule>
    <cfRule type="cellIs" dxfId="1623" priority="1932" operator="equal">
      <formula>"외주수리불가"</formula>
    </cfRule>
    <cfRule type="cellIs" dxfId="1622" priority="1933" operator="equal">
      <formula>"외주수리중"</formula>
    </cfRule>
    <cfRule type="cellIs" dxfId="1621" priority="1934" operator="equal">
      <formula>"수리중"</formula>
    </cfRule>
    <cfRule type="cellIs" dxfId="1620" priority="1935" operator="equal">
      <formula>"수리불가"</formula>
    </cfRule>
  </conditionalFormatting>
  <conditionalFormatting sqref="I494">
    <cfRule type="cellIs" dxfId="1619" priority="1926" operator="equal">
      <formula>"폐기"</formula>
    </cfRule>
    <cfRule type="cellIs" dxfId="1618" priority="1927" operator="equal">
      <formula>"외주수리불가"</formula>
    </cfRule>
    <cfRule type="cellIs" dxfId="1617" priority="1928" operator="equal">
      <formula>"외주수리중"</formula>
    </cfRule>
    <cfRule type="cellIs" dxfId="1616" priority="1929" operator="equal">
      <formula>"수리중"</formula>
    </cfRule>
    <cfRule type="cellIs" dxfId="1615" priority="1930" operator="equal">
      <formula>"수리불가"</formula>
    </cfRule>
  </conditionalFormatting>
  <conditionalFormatting sqref="I492">
    <cfRule type="cellIs" dxfId="1614" priority="1921" operator="equal">
      <formula>"폐기"</formula>
    </cfRule>
    <cfRule type="cellIs" dxfId="1613" priority="1922" operator="equal">
      <formula>"외주수리불가"</formula>
    </cfRule>
    <cfRule type="cellIs" dxfId="1612" priority="1923" operator="equal">
      <formula>"외주수리중"</formula>
    </cfRule>
    <cfRule type="cellIs" dxfId="1611" priority="1924" operator="equal">
      <formula>"수리중"</formula>
    </cfRule>
    <cfRule type="cellIs" dxfId="1610" priority="1925" operator="equal">
      <formula>"수리불가"</formula>
    </cfRule>
  </conditionalFormatting>
  <conditionalFormatting sqref="I500">
    <cfRule type="cellIs" dxfId="1609" priority="1916" operator="equal">
      <formula>"폐기"</formula>
    </cfRule>
    <cfRule type="cellIs" dxfId="1608" priority="1917" operator="equal">
      <formula>"외주수리불가"</formula>
    </cfRule>
    <cfRule type="cellIs" dxfId="1607" priority="1918" operator="equal">
      <formula>"외주수리중"</formula>
    </cfRule>
    <cfRule type="cellIs" dxfId="1606" priority="1919" operator="equal">
      <formula>"수리중"</formula>
    </cfRule>
    <cfRule type="cellIs" dxfId="1605" priority="1920" operator="equal">
      <formula>"수리불가"</formula>
    </cfRule>
  </conditionalFormatting>
  <conditionalFormatting sqref="I501">
    <cfRule type="cellIs" dxfId="1604" priority="1911" operator="equal">
      <formula>"폐기"</formula>
    </cfRule>
    <cfRule type="cellIs" dxfId="1603" priority="1912" operator="equal">
      <formula>"외주수리불가"</formula>
    </cfRule>
    <cfRule type="cellIs" dxfId="1602" priority="1913" operator="equal">
      <formula>"외주수리중"</formula>
    </cfRule>
    <cfRule type="cellIs" dxfId="1601" priority="1914" operator="equal">
      <formula>"수리중"</formula>
    </cfRule>
    <cfRule type="cellIs" dxfId="1600" priority="1915" operator="equal">
      <formula>"수리불가"</formula>
    </cfRule>
  </conditionalFormatting>
  <conditionalFormatting sqref="I502">
    <cfRule type="cellIs" dxfId="1599" priority="1906" operator="equal">
      <formula>"폐기"</formula>
    </cfRule>
    <cfRule type="cellIs" dxfId="1598" priority="1907" operator="equal">
      <formula>"외주수리불가"</formula>
    </cfRule>
    <cfRule type="cellIs" dxfId="1597" priority="1908" operator="equal">
      <formula>"외주수리중"</formula>
    </cfRule>
    <cfRule type="cellIs" dxfId="1596" priority="1909" operator="equal">
      <formula>"수리중"</formula>
    </cfRule>
    <cfRule type="cellIs" dxfId="1595" priority="1910" operator="equal">
      <formula>"수리불가"</formula>
    </cfRule>
  </conditionalFormatting>
  <conditionalFormatting sqref="I506">
    <cfRule type="cellIs" dxfId="1594" priority="1901" operator="equal">
      <formula>"폐기"</formula>
    </cfRule>
    <cfRule type="cellIs" dxfId="1593" priority="1902" operator="equal">
      <formula>"외주수리불가"</formula>
    </cfRule>
    <cfRule type="cellIs" dxfId="1592" priority="1903" operator="equal">
      <formula>"외주수리중"</formula>
    </cfRule>
    <cfRule type="cellIs" dxfId="1591" priority="1904" operator="equal">
      <formula>"수리중"</formula>
    </cfRule>
    <cfRule type="cellIs" dxfId="1590" priority="1905" operator="equal">
      <formula>"수리불가"</formula>
    </cfRule>
  </conditionalFormatting>
  <conditionalFormatting sqref="I503">
    <cfRule type="cellIs" dxfId="1589" priority="1896" operator="equal">
      <formula>"폐기"</formula>
    </cfRule>
    <cfRule type="cellIs" dxfId="1588" priority="1897" operator="equal">
      <formula>"외주수리불가"</formula>
    </cfRule>
    <cfRule type="cellIs" dxfId="1587" priority="1898" operator="equal">
      <formula>"외주수리중"</formula>
    </cfRule>
    <cfRule type="cellIs" dxfId="1586" priority="1899" operator="equal">
      <formula>"수리중"</formula>
    </cfRule>
    <cfRule type="cellIs" dxfId="1585" priority="1900" operator="equal">
      <formula>"수리불가"</formula>
    </cfRule>
  </conditionalFormatting>
  <conditionalFormatting sqref="I512">
    <cfRule type="cellIs" dxfId="1584" priority="1881" operator="equal">
      <formula>"폐기"</formula>
    </cfRule>
    <cfRule type="cellIs" dxfId="1583" priority="1882" operator="equal">
      <formula>"외주수리불가"</formula>
    </cfRule>
    <cfRule type="cellIs" dxfId="1582" priority="1883" operator="equal">
      <formula>"외주수리중"</formula>
    </cfRule>
    <cfRule type="cellIs" dxfId="1581" priority="1884" operator="equal">
      <formula>"수리중"</formula>
    </cfRule>
    <cfRule type="cellIs" dxfId="1580" priority="1885" operator="equal">
      <formula>"수리불가"</formula>
    </cfRule>
  </conditionalFormatting>
  <conditionalFormatting sqref="I513">
    <cfRule type="cellIs" dxfId="1579" priority="1876" operator="equal">
      <formula>"폐기"</formula>
    </cfRule>
    <cfRule type="cellIs" dxfId="1578" priority="1877" operator="equal">
      <formula>"외주수리불가"</formula>
    </cfRule>
    <cfRule type="cellIs" dxfId="1577" priority="1878" operator="equal">
      <formula>"외주수리중"</formula>
    </cfRule>
    <cfRule type="cellIs" dxfId="1576" priority="1879" operator="equal">
      <formula>"수리중"</formula>
    </cfRule>
    <cfRule type="cellIs" dxfId="1575" priority="1880" operator="equal">
      <formula>"수리불가"</formula>
    </cfRule>
  </conditionalFormatting>
  <conditionalFormatting sqref="I530">
    <cfRule type="cellIs" dxfId="1574" priority="1871" operator="equal">
      <formula>"폐기"</formula>
    </cfRule>
    <cfRule type="cellIs" dxfId="1573" priority="1872" operator="equal">
      <formula>"외주수리불가"</formula>
    </cfRule>
    <cfRule type="cellIs" dxfId="1572" priority="1873" operator="equal">
      <formula>"외주수리중"</formula>
    </cfRule>
    <cfRule type="cellIs" dxfId="1571" priority="1874" operator="equal">
      <formula>"수리중"</formula>
    </cfRule>
    <cfRule type="cellIs" dxfId="1570" priority="1875" operator="equal">
      <formula>"수리불가"</formula>
    </cfRule>
  </conditionalFormatting>
  <conditionalFormatting sqref="I533">
    <cfRule type="cellIs" dxfId="1569" priority="1866" operator="equal">
      <formula>"폐기"</formula>
    </cfRule>
    <cfRule type="cellIs" dxfId="1568" priority="1867" operator="equal">
      <formula>"외주수리불가"</formula>
    </cfRule>
    <cfRule type="cellIs" dxfId="1567" priority="1868" operator="equal">
      <formula>"외주수리중"</formula>
    </cfRule>
    <cfRule type="cellIs" dxfId="1566" priority="1869" operator="equal">
      <formula>"수리중"</formula>
    </cfRule>
    <cfRule type="cellIs" dxfId="1565" priority="1870" operator="equal">
      <formula>"수리불가"</formula>
    </cfRule>
  </conditionalFormatting>
  <conditionalFormatting sqref="I534">
    <cfRule type="cellIs" dxfId="1564" priority="1861" operator="equal">
      <formula>"폐기"</formula>
    </cfRule>
    <cfRule type="cellIs" dxfId="1563" priority="1862" operator="equal">
      <formula>"외주수리불가"</formula>
    </cfRule>
    <cfRule type="cellIs" dxfId="1562" priority="1863" operator="equal">
      <formula>"외주수리중"</formula>
    </cfRule>
    <cfRule type="cellIs" dxfId="1561" priority="1864" operator="equal">
      <formula>"수리중"</formula>
    </cfRule>
    <cfRule type="cellIs" dxfId="1560" priority="1865" operator="equal">
      <formula>"수리불가"</formula>
    </cfRule>
  </conditionalFormatting>
  <conditionalFormatting sqref="I543">
    <cfRule type="cellIs" dxfId="1559" priority="1851" operator="equal">
      <formula>"폐기"</formula>
    </cfRule>
    <cfRule type="cellIs" dxfId="1558" priority="1852" operator="equal">
      <formula>"외주수리불가"</formula>
    </cfRule>
    <cfRule type="cellIs" dxfId="1557" priority="1853" operator="equal">
      <formula>"외주수리중"</formula>
    </cfRule>
    <cfRule type="cellIs" dxfId="1556" priority="1854" operator="equal">
      <formula>"수리중"</formula>
    </cfRule>
    <cfRule type="cellIs" dxfId="1555" priority="1855" operator="equal">
      <formula>"수리불가"</formula>
    </cfRule>
  </conditionalFormatting>
  <conditionalFormatting sqref="I552">
    <cfRule type="cellIs" dxfId="1554" priority="1846" operator="equal">
      <formula>"폐기"</formula>
    </cfRule>
    <cfRule type="cellIs" dxfId="1553" priority="1847" operator="equal">
      <formula>"외주수리불가"</formula>
    </cfRule>
    <cfRule type="cellIs" dxfId="1552" priority="1848" operator="equal">
      <formula>"외주수리중"</formula>
    </cfRule>
    <cfRule type="cellIs" dxfId="1551" priority="1849" operator="equal">
      <formula>"수리중"</formula>
    </cfRule>
    <cfRule type="cellIs" dxfId="1550" priority="1850" operator="equal">
      <formula>"수리불가"</formula>
    </cfRule>
  </conditionalFormatting>
  <conditionalFormatting sqref="I558">
    <cfRule type="cellIs" dxfId="1549" priority="1836" operator="equal">
      <formula>"폐기"</formula>
    </cfRule>
    <cfRule type="cellIs" dxfId="1548" priority="1837" operator="equal">
      <formula>"외주수리불가"</formula>
    </cfRule>
    <cfRule type="cellIs" dxfId="1547" priority="1838" operator="equal">
      <formula>"외주수리중"</formula>
    </cfRule>
    <cfRule type="cellIs" dxfId="1546" priority="1839" operator="equal">
      <formula>"수리중"</formula>
    </cfRule>
    <cfRule type="cellIs" dxfId="1545" priority="1840" operator="equal">
      <formula>"수리불가"</formula>
    </cfRule>
  </conditionalFormatting>
  <conditionalFormatting sqref="I571">
    <cfRule type="cellIs" dxfId="1544" priority="1816" operator="equal">
      <formula>"폐기"</formula>
    </cfRule>
    <cfRule type="cellIs" dxfId="1543" priority="1817" operator="equal">
      <formula>"외주수리불가"</formula>
    </cfRule>
    <cfRule type="cellIs" dxfId="1542" priority="1818" operator="equal">
      <formula>"외주수리중"</formula>
    </cfRule>
    <cfRule type="cellIs" dxfId="1541" priority="1819" operator="equal">
      <formula>"수리중"</formula>
    </cfRule>
    <cfRule type="cellIs" dxfId="1540" priority="1820" operator="equal">
      <formula>"수리불가"</formula>
    </cfRule>
  </conditionalFormatting>
  <conditionalFormatting sqref="I585">
    <cfRule type="cellIs" dxfId="1539" priority="1801" operator="equal">
      <formula>"폐기"</formula>
    </cfRule>
    <cfRule type="cellIs" dxfId="1538" priority="1802" operator="equal">
      <formula>"외주수리불가"</formula>
    </cfRule>
    <cfRule type="cellIs" dxfId="1537" priority="1803" operator="equal">
      <formula>"외주수리중"</formula>
    </cfRule>
    <cfRule type="cellIs" dxfId="1536" priority="1804" operator="equal">
      <formula>"수리중"</formula>
    </cfRule>
    <cfRule type="cellIs" dxfId="1535" priority="1805" operator="equal">
      <formula>"수리불가"</formula>
    </cfRule>
  </conditionalFormatting>
  <conditionalFormatting sqref="I595">
    <cfRule type="cellIs" dxfId="1534" priority="1791" operator="equal">
      <formula>"폐기"</formula>
    </cfRule>
    <cfRule type="cellIs" dxfId="1533" priority="1792" operator="equal">
      <formula>"외주수리불가"</formula>
    </cfRule>
    <cfRule type="cellIs" dxfId="1532" priority="1793" operator="equal">
      <formula>"외주수리중"</formula>
    </cfRule>
    <cfRule type="cellIs" dxfId="1531" priority="1794" operator="equal">
      <formula>"수리중"</formula>
    </cfRule>
    <cfRule type="cellIs" dxfId="1530" priority="1795" operator="equal">
      <formula>"수리불가"</formula>
    </cfRule>
  </conditionalFormatting>
  <conditionalFormatting sqref="I591">
    <cfRule type="cellIs" dxfId="1529" priority="1786" operator="equal">
      <formula>"폐기"</formula>
    </cfRule>
    <cfRule type="cellIs" dxfId="1528" priority="1787" operator="equal">
      <formula>"외주수리불가"</formula>
    </cfRule>
    <cfRule type="cellIs" dxfId="1527" priority="1788" operator="equal">
      <formula>"외주수리중"</formula>
    </cfRule>
    <cfRule type="cellIs" dxfId="1526" priority="1789" operator="equal">
      <formula>"수리중"</formula>
    </cfRule>
    <cfRule type="cellIs" dxfId="1525" priority="1790" operator="equal">
      <formula>"수리불가"</formula>
    </cfRule>
  </conditionalFormatting>
  <conditionalFormatting sqref="I601">
    <cfRule type="cellIs" dxfId="1524" priority="1781" operator="equal">
      <formula>"폐기"</formula>
    </cfRule>
    <cfRule type="cellIs" dxfId="1523" priority="1782" operator="equal">
      <formula>"외주수리불가"</formula>
    </cfRule>
    <cfRule type="cellIs" dxfId="1522" priority="1783" operator="equal">
      <formula>"외주수리중"</formula>
    </cfRule>
    <cfRule type="cellIs" dxfId="1521" priority="1784" operator="equal">
      <formula>"수리중"</formula>
    </cfRule>
    <cfRule type="cellIs" dxfId="1520" priority="1785" operator="equal">
      <formula>"수리불가"</formula>
    </cfRule>
  </conditionalFormatting>
  <conditionalFormatting sqref="I602">
    <cfRule type="cellIs" dxfId="1519" priority="1771" operator="equal">
      <formula>"폐기"</formula>
    </cfRule>
    <cfRule type="cellIs" dxfId="1518" priority="1772" operator="equal">
      <formula>"외주수리불가"</formula>
    </cfRule>
    <cfRule type="cellIs" dxfId="1517" priority="1773" operator="equal">
      <formula>"외주수리중"</formula>
    </cfRule>
    <cfRule type="cellIs" dxfId="1516" priority="1774" operator="equal">
      <formula>"수리중"</formula>
    </cfRule>
    <cfRule type="cellIs" dxfId="1515" priority="1775" operator="equal">
      <formula>"수리불가"</formula>
    </cfRule>
  </conditionalFormatting>
  <conditionalFormatting sqref="I615">
    <cfRule type="cellIs" dxfId="1514" priority="1766" operator="equal">
      <formula>"폐기"</formula>
    </cfRule>
    <cfRule type="cellIs" dxfId="1513" priority="1767" operator="equal">
      <formula>"외주수리불가"</formula>
    </cfRule>
    <cfRule type="cellIs" dxfId="1512" priority="1768" operator="equal">
      <formula>"외주수리중"</formula>
    </cfRule>
    <cfRule type="cellIs" dxfId="1511" priority="1769" operator="equal">
      <formula>"수리중"</formula>
    </cfRule>
    <cfRule type="cellIs" dxfId="1510" priority="1770" operator="equal">
      <formula>"수리불가"</formula>
    </cfRule>
  </conditionalFormatting>
  <conditionalFormatting sqref="I631">
    <cfRule type="cellIs" dxfId="1509" priority="1761" operator="equal">
      <formula>"폐기"</formula>
    </cfRule>
    <cfRule type="cellIs" dxfId="1508" priority="1762" operator="equal">
      <formula>"외주수리불가"</formula>
    </cfRule>
    <cfRule type="cellIs" dxfId="1507" priority="1763" operator="equal">
      <formula>"외주수리중"</formula>
    </cfRule>
    <cfRule type="cellIs" dxfId="1506" priority="1764" operator="equal">
      <formula>"수리중"</formula>
    </cfRule>
    <cfRule type="cellIs" dxfId="1505" priority="1765" operator="equal">
      <formula>"수리불가"</formula>
    </cfRule>
  </conditionalFormatting>
  <conditionalFormatting sqref="I632">
    <cfRule type="cellIs" dxfId="1504" priority="1756" operator="equal">
      <formula>"폐기"</formula>
    </cfRule>
    <cfRule type="cellIs" dxfId="1503" priority="1757" operator="equal">
      <formula>"외주수리불가"</formula>
    </cfRule>
    <cfRule type="cellIs" dxfId="1502" priority="1758" operator="equal">
      <formula>"외주수리중"</formula>
    </cfRule>
    <cfRule type="cellIs" dxfId="1501" priority="1759" operator="equal">
      <formula>"수리중"</formula>
    </cfRule>
    <cfRule type="cellIs" dxfId="1500" priority="1760" operator="equal">
      <formula>"수리불가"</formula>
    </cfRule>
  </conditionalFormatting>
  <conditionalFormatting sqref="I634">
    <cfRule type="cellIs" dxfId="1499" priority="1751" operator="equal">
      <formula>"폐기"</formula>
    </cfRule>
    <cfRule type="cellIs" dxfId="1498" priority="1752" operator="equal">
      <formula>"외주수리불가"</formula>
    </cfRule>
    <cfRule type="cellIs" dxfId="1497" priority="1753" operator="equal">
      <formula>"외주수리중"</formula>
    </cfRule>
    <cfRule type="cellIs" dxfId="1496" priority="1754" operator="equal">
      <formula>"수리중"</formula>
    </cfRule>
    <cfRule type="cellIs" dxfId="1495" priority="1755" operator="equal">
      <formula>"수리불가"</formula>
    </cfRule>
  </conditionalFormatting>
  <conditionalFormatting sqref="I638">
    <cfRule type="cellIs" dxfId="1494" priority="1746" operator="equal">
      <formula>"폐기"</formula>
    </cfRule>
    <cfRule type="cellIs" dxfId="1493" priority="1747" operator="equal">
      <formula>"외주수리불가"</formula>
    </cfRule>
    <cfRule type="cellIs" dxfId="1492" priority="1748" operator="equal">
      <formula>"외주수리중"</formula>
    </cfRule>
    <cfRule type="cellIs" dxfId="1491" priority="1749" operator="equal">
      <formula>"수리중"</formula>
    </cfRule>
    <cfRule type="cellIs" dxfId="1490" priority="1750" operator="equal">
      <formula>"수리불가"</formula>
    </cfRule>
  </conditionalFormatting>
  <conditionalFormatting sqref="I639">
    <cfRule type="cellIs" dxfId="1489" priority="1741" operator="equal">
      <formula>"폐기"</formula>
    </cfRule>
    <cfRule type="cellIs" dxfId="1488" priority="1742" operator="equal">
      <formula>"외주수리불가"</formula>
    </cfRule>
    <cfRule type="cellIs" dxfId="1487" priority="1743" operator="equal">
      <formula>"외주수리중"</formula>
    </cfRule>
    <cfRule type="cellIs" dxfId="1486" priority="1744" operator="equal">
      <formula>"수리중"</formula>
    </cfRule>
    <cfRule type="cellIs" dxfId="1485" priority="1745" operator="equal">
      <formula>"수리불가"</formula>
    </cfRule>
  </conditionalFormatting>
  <conditionalFormatting sqref="I640">
    <cfRule type="cellIs" dxfId="1484" priority="1736" operator="equal">
      <formula>"폐기"</formula>
    </cfRule>
    <cfRule type="cellIs" dxfId="1483" priority="1737" operator="equal">
      <formula>"외주수리불가"</formula>
    </cfRule>
    <cfRule type="cellIs" dxfId="1482" priority="1738" operator="equal">
      <formula>"외주수리중"</formula>
    </cfRule>
    <cfRule type="cellIs" dxfId="1481" priority="1739" operator="equal">
      <formula>"수리중"</formula>
    </cfRule>
    <cfRule type="cellIs" dxfId="1480" priority="1740" operator="equal">
      <formula>"수리불가"</formula>
    </cfRule>
  </conditionalFormatting>
  <conditionalFormatting sqref="I641">
    <cfRule type="cellIs" dxfId="1479" priority="1726" operator="equal">
      <formula>"폐기"</formula>
    </cfRule>
    <cfRule type="cellIs" dxfId="1478" priority="1727" operator="equal">
      <formula>"외주수리불가"</formula>
    </cfRule>
    <cfRule type="cellIs" dxfId="1477" priority="1728" operator="equal">
      <formula>"외주수리중"</formula>
    </cfRule>
    <cfRule type="cellIs" dxfId="1476" priority="1729" operator="equal">
      <formula>"수리중"</formula>
    </cfRule>
    <cfRule type="cellIs" dxfId="1475" priority="1730" operator="equal">
      <formula>"수리불가"</formula>
    </cfRule>
  </conditionalFormatting>
  <conditionalFormatting sqref="I647">
    <cfRule type="cellIs" dxfId="1474" priority="1716" operator="equal">
      <formula>"폐기"</formula>
    </cfRule>
    <cfRule type="cellIs" dxfId="1473" priority="1717" operator="equal">
      <formula>"외주수리불가"</formula>
    </cfRule>
    <cfRule type="cellIs" dxfId="1472" priority="1718" operator="equal">
      <formula>"외주수리중"</formula>
    </cfRule>
    <cfRule type="cellIs" dxfId="1471" priority="1719" operator="equal">
      <formula>"수리중"</formula>
    </cfRule>
    <cfRule type="cellIs" dxfId="1470" priority="1720" operator="equal">
      <formula>"수리불가"</formula>
    </cfRule>
  </conditionalFormatting>
  <conditionalFormatting sqref="I644">
    <cfRule type="cellIs" dxfId="1469" priority="1711" operator="equal">
      <formula>"폐기"</formula>
    </cfRule>
    <cfRule type="cellIs" dxfId="1468" priority="1712" operator="equal">
      <formula>"외주수리불가"</formula>
    </cfRule>
    <cfRule type="cellIs" dxfId="1467" priority="1713" operator="equal">
      <formula>"외주수리중"</formula>
    </cfRule>
    <cfRule type="cellIs" dxfId="1466" priority="1714" operator="equal">
      <formula>"수리중"</formula>
    </cfRule>
    <cfRule type="cellIs" dxfId="1465" priority="1715" operator="equal">
      <formula>"수리불가"</formula>
    </cfRule>
  </conditionalFormatting>
  <conditionalFormatting sqref="I654">
    <cfRule type="cellIs" dxfId="1464" priority="1701" operator="equal">
      <formula>"폐기"</formula>
    </cfRule>
    <cfRule type="cellIs" dxfId="1463" priority="1702" operator="equal">
      <formula>"외주수리불가"</formula>
    </cfRule>
    <cfRule type="cellIs" dxfId="1462" priority="1703" operator="equal">
      <formula>"외주수리중"</formula>
    </cfRule>
    <cfRule type="cellIs" dxfId="1461" priority="1704" operator="equal">
      <formula>"수리중"</formula>
    </cfRule>
    <cfRule type="cellIs" dxfId="1460" priority="1705" operator="equal">
      <formula>"수리불가"</formula>
    </cfRule>
  </conditionalFormatting>
  <conditionalFormatting sqref="I664">
    <cfRule type="cellIs" dxfId="1459" priority="1691" operator="equal">
      <formula>"폐기"</formula>
    </cfRule>
    <cfRule type="cellIs" dxfId="1458" priority="1692" operator="equal">
      <formula>"외주수리불가"</formula>
    </cfRule>
    <cfRule type="cellIs" dxfId="1457" priority="1693" operator="equal">
      <formula>"외주수리중"</formula>
    </cfRule>
    <cfRule type="cellIs" dxfId="1456" priority="1694" operator="equal">
      <formula>"수리중"</formula>
    </cfRule>
    <cfRule type="cellIs" dxfId="1455" priority="1695" operator="equal">
      <formula>"수리불가"</formula>
    </cfRule>
  </conditionalFormatting>
  <conditionalFormatting sqref="I665">
    <cfRule type="cellIs" dxfId="1454" priority="1686" operator="equal">
      <formula>"폐기"</formula>
    </cfRule>
    <cfRule type="cellIs" dxfId="1453" priority="1687" operator="equal">
      <formula>"외주수리불가"</formula>
    </cfRule>
    <cfRule type="cellIs" dxfId="1452" priority="1688" operator="equal">
      <formula>"외주수리중"</formula>
    </cfRule>
    <cfRule type="cellIs" dxfId="1451" priority="1689" operator="equal">
      <formula>"수리중"</formula>
    </cfRule>
    <cfRule type="cellIs" dxfId="1450" priority="1690" operator="equal">
      <formula>"수리불가"</formula>
    </cfRule>
  </conditionalFormatting>
  <conditionalFormatting sqref="I670">
    <cfRule type="cellIs" dxfId="1449" priority="1681" operator="equal">
      <formula>"폐기"</formula>
    </cfRule>
    <cfRule type="cellIs" dxfId="1448" priority="1682" operator="equal">
      <formula>"외주수리불가"</formula>
    </cfRule>
    <cfRule type="cellIs" dxfId="1447" priority="1683" operator="equal">
      <formula>"외주수리중"</formula>
    </cfRule>
    <cfRule type="cellIs" dxfId="1446" priority="1684" operator="equal">
      <formula>"수리중"</formula>
    </cfRule>
    <cfRule type="cellIs" dxfId="1445" priority="1685" operator="equal">
      <formula>"수리불가"</formula>
    </cfRule>
  </conditionalFormatting>
  <conditionalFormatting sqref="I671">
    <cfRule type="cellIs" dxfId="1444" priority="1671" operator="equal">
      <formula>"폐기"</formula>
    </cfRule>
    <cfRule type="cellIs" dxfId="1443" priority="1672" operator="equal">
      <formula>"외주수리불가"</formula>
    </cfRule>
    <cfRule type="cellIs" dxfId="1442" priority="1673" operator="equal">
      <formula>"외주수리중"</formula>
    </cfRule>
    <cfRule type="cellIs" dxfId="1441" priority="1674" operator="equal">
      <formula>"수리중"</formula>
    </cfRule>
    <cfRule type="cellIs" dxfId="1440" priority="1675" operator="equal">
      <formula>"수리불가"</formula>
    </cfRule>
  </conditionalFormatting>
  <conditionalFormatting sqref="I672">
    <cfRule type="cellIs" dxfId="1439" priority="1666" operator="equal">
      <formula>"폐기"</formula>
    </cfRule>
    <cfRule type="cellIs" dxfId="1438" priority="1667" operator="equal">
      <formula>"외주수리불가"</formula>
    </cfRule>
    <cfRule type="cellIs" dxfId="1437" priority="1668" operator="equal">
      <formula>"외주수리중"</formula>
    </cfRule>
    <cfRule type="cellIs" dxfId="1436" priority="1669" operator="equal">
      <formula>"수리중"</formula>
    </cfRule>
    <cfRule type="cellIs" dxfId="1435" priority="1670" operator="equal">
      <formula>"수리불가"</formula>
    </cfRule>
  </conditionalFormatting>
  <conditionalFormatting sqref="I675">
    <cfRule type="cellIs" dxfId="1434" priority="1661" operator="equal">
      <formula>"폐기"</formula>
    </cfRule>
    <cfRule type="cellIs" dxfId="1433" priority="1662" operator="equal">
      <formula>"외주수리불가"</formula>
    </cfRule>
    <cfRule type="cellIs" dxfId="1432" priority="1663" operator="equal">
      <formula>"외주수리중"</formula>
    </cfRule>
    <cfRule type="cellIs" dxfId="1431" priority="1664" operator="equal">
      <formula>"수리중"</formula>
    </cfRule>
    <cfRule type="cellIs" dxfId="1430" priority="1665" operator="equal">
      <formula>"수리불가"</formula>
    </cfRule>
  </conditionalFormatting>
  <conditionalFormatting sqref="I676">
    <cfRule type="cellIs" dxfId="1429" priority="1651" operator="equal">
      <formula>"폐기"</formula>
    </cfRule>
    <cfRule type="cellIs" dxfId="1428" priority="1652" operator="equal">
      <formula>"외주수리불가"</formula>
    </cfRule>
    <cfRule type="cellIs" dxfId="1427" priority="1653" operator="equal">
      <formula>"외주수리중"</formula>
    </cfRule>
    <cfRule type="cellIs" dxfId="1426" priority="1654" operator="equal">
      <formula>"수리중"</formula>
    </cfRule>
    <cfRule type="cellIs" dxfId="1425" priority="1655" operator="equal">
      <formula>"수리불가"</formula>
    </cfRule>
  </conditionalFormatting>
  <conditionalFormatting sqref="I674">
    <cfRule type="cellIs" dxfId="1424" priority="1646" operator="equal">
      <formula>"폐기"</formula>
    </cfRule>
    <cfRule type="cellIs" dxfId="1423" priority="1647" operator="equal">
      <formula>"외주수리불가"</formula>
    </cfRule>
    <cfRule type="cellIs" dxfId="1422" priority="1648" operator="equal">
      <formula>"외주수리중"</formula>
    </cfRule>
    <cfRule type="cellIs" dxfId="1421" priority="1649" operator="equal">
      <formula>"수리중"</formula>
    </cfRule>
    <cfRule type="cellIs" dxfId="1420" priority="1650" operator="equal">
      <formula>"수리불가"</formula>
    </cfRule>
  </conditionalFormatting>
  <conditionalFormatting sqref="I673">
    <cfRule type="cellIs" dxfId="1419" priority="1641" operator="equal">
      <formula>"폐기"</formula>
    </cfRule>
    <cfRule type="cellIs" dxfId="1418" priority="1642" operator="equal">
      <formula>"외주수리불가"</formula>
    </cfRule>
    <cfRule type="cellIs" dxfId="1417" priority="1643" operator="equal">
      <formula>"외주수리중"</formula>
    </cfRule>
    <cfRule type="cellIs" dxfId="1416" priority="1644" operator="equal">
      <formula>"수리중"</formula>
    </cfRule>
    <cfRule type="cellIs" dxfId="1415" priority="1645" operator="equal">
      <formula>"수리불가"</formula>
    </cfRule>
  </conditionalFormatting>
  <conditionalFormatting sqref="I682">
    <cfRule type="cellIs" dxfId="1414" priority="1631" operator="equal">
      <formula>"폐기"</formula>
    </cfRule>
    <cfRule type="cellIs" dxfId="1413" priority="1632" operator="equal">
      <formula>"외주수리불가"</formula>
    </cfRule>
    <cfRule type="cellIs" dxfId="1412" priority="1633" operator="equal">
      <formula>"외주수리중"</formula>
    </cfRule>
    <cfRule type="cellIs" dxfId="1411" priority="1634" operator="equal">
      <formula>"수리중"</formula>
    </cfRule>
    <cfRule type="cellIs" dxfId="1410" priority="1635" operator="equal">
      <formula>"수리불가"</formula>
    </cfRule>
  </conditionalFormatting>
  <conditionalFormatting sqref="I693">
    <cfRule type="cellIs" dxfId="1409" priority="1626" operator="equal">
      <formula>"폐기"</formula>
    </cfRule>
    <cfRule type="cellIs" dxfId="1408" priority="1627" operator="equal">
      <formula>"외주수리불가"</formula>
    </cfRule>
    <cfRule type="cellIs" dxfId="1407" priority="1628" operator="equal">
      <formula>"외주수리중"</formula>
    </cfRule>
    <cfRule type="cellIs" dxfId="1406" priority="1629" operator="equal">
      <formula>"수리중"</formula>
    </cfRule>
    <cfRule type="cellIs" dxfId="1405" priority="1630" operator="equal">
      <formula>"수리불가"</formula>
    </cfRule>
  </conditionalFormatting>
  <conditionalFormatting sqref="I722">
    <cfRule type="cellIs" dxfId="1404" priority="1621" operator="equal">
      <formula>"폐기"</formula>
    </cfRule>
    <cfRule type="cellIs" dxfId="1403" priority="1622" operator="equal">
      <formula>"외주수리불가"</formula>
    </cfRule>
    <cfRule type="cellIs" dxfId="1402" priority="1623" operator="equal">
      <formula>"외주수리중"</formula>
    </cfRule>
    <cfRule type="cellIs" dxfId="1401" priority="1624" operator="equal">
      <formula>"수리중"</formula>
    </cfRule>
    <cfRule type="cellIs" dxfId="1400" priority="1625" operator="equal">
      <formula>"수리불가"</formula>
    </cfRule>
  </conditionalFormatting>
  <conditionalFormatting sqref="I723">
    <cfRule type="cellIs" dxfId="1399" priority="1616" operator="equal">
      <formula>"폐기"</formula>
    </cfRule>
    <cfRule type="cellIs" dxfId="1398" priority="1617" operator="equal">
      <formula>"외주수리불가"</formula>
    </cfRule>
    <cfRule type="cellIs" dxfId="1397" priority="1618" operator="equal">
      <formula>"외주수리중"</formula>
    </cfRule>
    <cfRule type="cellIs" dxfId="1396" priority="1619" operator="equal">
      <formula>"수리중"</formula>
    </cfRule>
    <cfRule type="cellIs" dxfId="1395" priority="1620" operator="equal">
      <formula>"수리불가"</formula>
    </cfRule>
  </conditionalFormatting>
  <conditionalFormatting sqref="I694">
    <cfRule type="cellIs" dxfId="1394" priority="1611" operator="equal">
      <formula>"폐기"</formula>
    </cfRule>
    <cfRule type="cellIs" dxfId="1393" priority="1612" operator="equal">
      <formula>"외주수리불가"</formula>
    </cfRule>
    <cfRule type="cellIs" dxfId="1392" priority="1613" operator="equal">
      <formula>"외주수리중"</formula>
    </cfRule>
    <cfRule type="cellIs" dxfId="1391" priority="1614" operator="equal">
      <formula>"수리중"</formula>
    </cfRule>
    <cfRule type="cellIs" dxfId="1390" priority="1615" operator="equal">
      <formula>"수리불가"</formula>
    </cfRule>
  </conditionalFormatting>
  <conditionalFormatting sqref="I730">
    <cfRule type="cellIs" dxfId="1389" priority="1596" operator="equal">
      <formula>"폐기"</formula>
    </cfRule>
    <cfRule type="cellIs" dxfId="1388" priority="1597" operator="equal">
      <formula>"외주수리불가"</formula>
    </cfRule>
    <cfRule type="cellIs" dxfId="1387" priority="1598" operator="equal">
      <formula>"외주수리중"</formula>
    </cfRule>
    <cfRule type="cellIs" dxfId="1386" priority="1599" operator="equal">
      <formula>"수리중"</formula>
    </cfRule>
    <cfRule type="cellIs" dxfId="1385" priority="1600" operator="equal">
      <formula>"수리불가"</formula>
    </cfRule>
  </conditionalFormatting>
  <conditionalFormatting sqref="I731">
    <cfRule type="cellIs" dxfId="1384" priority="1591" operator="equal">
      <formula>"폐기"</formula>
    </cfRule>
    <cfRule type="cellIs" dxfId="1383" priority="1592" operator="equal">
      <formula>"외주수리불가"</formula>
    </cfRule>
    <cfRule type="cellIs" dxfId="1382" priority="1593" operator="equal">
      <formula>"외주수리중"</formula>
    </cfRule>
    <cfRule type="cellIs" dxfId="1381" priority="1594" operator="equal">
      <formula>"수리중"</formula>
    </cfRule>
    <cfRule type="cellIs" dxfId="1380" priority="1595" operator="equal">
      <formula>"수리불가"</formula>
    </cfRule>
  </conditionalFormatting>
  <conditionalFormatting sqref="I738">
    <cfRule type="cellIs" dxfId="1379" priority="1586" operator="equal">
      <formula>"폐기"</formula>
    </cfRule>
    <cfRule type="cellIs" dxfId="1378" priority="1587" operator="equal">
      <formula>"외주수리불가"</formula>
    </cfRule>
    <cfRule type="cellIs" dxfId="1377" priority="1588" operator="equal">
      <formula>"외주수리중"</formula>
    </cfRule>
    <cfRule type="cellIs" dxfId="1376" priority="1589" operator="equal">
      <formula>"수리중"</formula>
    </cfRule>
    <cfRule type="cellIs" dxfId="1375" priority="1590" operator="equal">
      <formula>"수리불가"</formula>
    </cfRule>
  </conditionalFormatting>
  <conditionalFormatting sqref="I748">
    <cfRule type="cellIs" dxfId="1374" priority="1581" operator="equal">
      <formula>"폐기"</formula>
    </cfRule>
    <cfRule type="cellIs" dxfId="1373" priority="1582" operator="equal">
      <formula>"외주수리불가"</formula>
    </cfRule>
    <cfRule type="cellIs" dxfId="1372" priority="1583" operator="equal">
      <formula>"외주수리중"</formula>
    </cfRule>
    <cfRule type="cellIs" dxfId="1371" priority="1584" operator="equal">
      <formula>"수리중"</formula>
    </cfRule>
    <cfRule type="cellIs" dxfId="1370" priority="1585" operator="equal">
      <formula>"수리불가"</formula>
    </cfRule>
  </conditionalFormatting>
  <conditionalFormatting sqref="I756">
    <cfRule type="cellIs" dxfId="1369" priority="1576" operator="equal">
      <formula>"폐기"</formula>
    </cfRule>
    <cfRule type="cellIs" dxfId="1368" priority="1577" operator="equal">
      <formula>"외주수리불가"</formula>
    </cfRule>
    <cfRule type="cellIs" dxfId="1367" priority="1578" operator="equal">
      <formula>"외주수리중"</formula>
    </cfRule>
    <cfRule type="cellIs" dxfId="1366" priority="1579" operator="equal">
      <formula>"수리중"</formula>
    </cfRule>
    <cfRule type="cellIs" dxfId="1365" priority="1580" operator="equal">
      <formula>"수리불가"</formula>
    </cfRule>
  </conditionalFormatting>
  <conditionalFormatting sqref="I759">
    <cfRule type="cellIs" dxfId="1364" priority="1571" operator="equal">
      <formula>"폐기"</formula>
    </cfRule>
    <cfRule type="cellIs" dxfId="1363" priority="1572" operator="equal">
      <formula>"외주수리불가"</formula>
    </cfRule>
    <cfRule type="cellIs" dxfId="1362" priority="1573" operator="equal">
      <formula>"외주수리중"</formula>
    </cfRule>
    <cfRule type="cellIs" dxfId="1361" priority="1574" operator="equal">
      <formula>"수리중"</formula>
    </cfRule>
    <cfRule type="cellIs" dxfId="1360" priority="1575" operator="equal">
      <formula>"수리불가"</formula>
    </cfRule>
  </conditionalFormatting>
  <conditionalFormatting sqref="I763">
    <cfRule type="cellIs" dxfId="1359" priority="1566" operator="equal">
      <formula>"폐기"</formula>
    </cfRule>
    <cfRule type="cellIs" dxfId="1358" priority="1567" operator="equal">
      <formula>"외주수리불가"</formula>
    </cfRule>
    <cfRule type="cellIs" dxfId="1357" priority="1568" operator="equal">
      <formula>"외주수리중"</formula>
    </cfRule>
    <cfRule type="cellIs" dxfId="1356" priority="1569" operator="equal">
      <formula>"수리중"</formula>
    </cfRule>
    <cfRule type="cellIs" dxfId="1355" priority="1570" operator="equal">
      <formula>"수리불가"</formula>
    </cfRule>
  </conditionalFormatting>
  <conditionalFormatting sqref="I764">
    <cfRule type="cellIs" dxfId="1354" priority="1561" operator="equal">
      <formula>"폐기"</formula>
    </cfRule>
    <cfRule type="cellIs" dxfId="1353" priority="1562" operator="equal">
      <formula>"외주수리불가"</formula>
    </cfRule>
    <cfRule type="cellIs" dxfId="1352" priority="1563" operator="equal">
      <formula>"외주수리중"</formula>
    </cfRule>
    <cfRule type="cellIs" dxfId="1351" priority="1564" operator="equal">
      <formula>"수리중"</formula>
    </cfRule>
    <cfRule type="cellIs" dxfId="1350" priority="1565" operator="equal">
      <formula>"수리불가"</formula>
    </cfRule>
  </conditionalFormatting>
  <conditionalFormatting sqref="I768">
    <cfRule type="cellIs" dxfId="1349" priority="1556" operator="equal">
      <formula>"폐기"</formula>
    </cfRule>
    <cfRule type="cellIs" dxfId="1348" priority="1557" operator="equal">
      <formula>"외주수리불가"</formula>
    </cfRule>
    <cfRule type="cellIs" dxfId="1347" priority="1558" operator="equal">
      <formula>"외주수리중"</formula>
    </cfRule>
    <cfRule type="cellIs" dxfId="1346" priority="1559" operator="equal">
      <formula>"수리중"</formula>
    </cfRule>
    <cfRule type="cellIs" dxfId="1345" priority="1560" operator="equal">
      <formula>"수리불가"</formula>
    </cfRule>
  </conditionalFormatting>
  <conditionalFormatting sqref="I771">
    <cfRule type="cellIs" dxfId="1344" priority="1551" operator="equal">
      <formula>"폐기"</formula>
    </cfRule>
    <cfRule type="cellIs" dxfId="1343" priority="1552" operator="equal">
      <formula>"외주수리불가"</formula>
    </cfRule>
    <cfRule type="cellIs" dxfId="1342" priority="1553" operator="equal">
      <formula>"외주수리중"</formula>
    </cfRule>
    <cfRule type="cellIs" dxfId="1341" priority="1554" operator="equal">
      <formula>"수리중"</formula>
    </cfRule>
    <cfRule type="cellIs" dxfId="1340" priority="1555" operator="equal">
      <formula>"수리불가"</formula>
    </cfRule>
  </conditionalFormatting>
  <conditionalFormatting sqref="I772">
    <cfRule type="cellIs" dxfId="1339" priority="1546" operator="equal">
      <formula>"폐기"</formula>
    </cfRule>
    <cfRule type="cellIs" dxfId="1338" priority="1547" operator="equal">
      <formula>"외주수리불가"</formula>
    </cfRule>
    <cfRule type="cellIs" dxfId="1337" priority="1548" operator="equal">
      <formula>"외주수리중"</formula>
    </cfRule>
    <cfRule type="cellIs" dxfId="1336" priority="1549" operator="equal">
      <formula>"수리중"</formula>
    </cfRule>
    <cfRule type="cellIs" dxfId="1335" priority="1550" operator="equal">
      <formula>"수리불가"</formula>
    </cfRule>
  </conditionalFormatting>
  <conditionalFormatting sqref="I781">
    <cfRule type="cellIs" dxfId="1334" priority="1541" operator="equal">
      <formula>"폐기"</formula>
    </cfRule>
    <cfRule type="cellIs" dxfId="1333" priority="1542" operator="equal">
      <formula>"외주수리불가"</formula>
    </cfRule>
    <cfRule type="cellIs" dxfId="1332" priority="1543" operator="equal">
      <formula>"외주수리중"</formula>
    </cfRule>
    <cfRule type="cellIs" dxfId="1331" priority="1544" operator="equal">
      <formula>"수리중"</formula>
    </cfRule>
    <cfRule type="cellIs" dxfId="1330" priority="1545" operator="equal">
      <formula>"수리불가"</formula>
    </cfRule>
  </conditionalFormatting>
  <conditionalFormatting sqref="I782">
    <cfRule type="cellIs" dxfId="1329" priority="1536" operator="equal">
      <formula>"폐기"</formula>
    </cfRule>
    <cfRule type="cellIs" dxfId="1328" priority="1537" operator="equal">
      <formula>"외주수리불가"</formula>
    </cfRule>
    <cfRule type="cellIs" dxfId="1327" priority="1538" operator="equal">
      <formula>"외주수리중"</formula>
    </cfRule>
    <cfRule type="cellIs" dxfId="1326" priority="1539" operator="equal">
      <formula>"수리중"</formula>
    </cfRule>
    <cfRule type="cellIs" dxfId="1325" priority="1540" operator="equal">
      <formula>"수리불가"</formula>
    </cfRule>
  </conditionalFormatting>
  <conditionalFormatting sqref="I790">
    <cfRule type="cellIs" dxfId="1324" priority="1531" operator="equal">
      <formula>"폐기"</formula>
    </cfRule>
    <cfRule type="cellIs" dxfId="1323" priority="1532" operator="equal">
      <formula>"외주수리불가"</formula>
    </cfRule>
    <cfRule type="cellIs" dxfId="1322" priority="1533" operator="equal">
      <formula>"외주수리중"</formula>
    </cfRule>
    <cfRule type="cellIs" dxfId="1321" priority="1534" operator="equal">
      <formula>"수리중"</formula>
    </cfRule>
    <cfRule type="cellIs" dxfId="1320" priority="1535" operator="equal">
      <formula>"수리불가"</formula>
    </cfRule>
  </conditionalFormatting>
  <conditionalFormatting sqref="I807">
    <cfRule type="cellIs" dxfId="1319" priority="1526" operator="equal">
      <formula>"폐기"</formula>
    </cfRule>
    <cfRule type="cellIs" dxfId="1318" priority="1527" operator="equal">
      <formula>"외주수리불가"</formula>
    </cfRule>
    <cfRule type="cellIs" dxfId="1317" priority="1528" operator="equal">
      <formula>"외주수리중"</formula>
    </cfRule>
    <cfRule type="cellIs" dxfId="1316" priority="1529" operator="equal">
      <formula>"수리중"</formula>
    </cfRule>
    <cfRule type="cellIs" dxfId="1315" priority="1530" operator="equal">
      <formula>"수리불가"</formula>
    </cfRule>
  </conditionalFormatting>
  <conditionalFormatting sqref="I809">
    <cfRule type="cellIs" dxfId="1314" priority="1521" operator="equal">
      <formula>"폐기"</formula>
    </cfRule>
    <cfRule type="cellIs" dxfId="1313" priority="1522" operator="equal">
      <formula>"외주수리불가"</formula>
    </cfRule>
    <cfRule type="cellIs" dxfId="1312" priority="1523" operator="equal">
      <formula>"외주수리중"</formula>
    </cfRule>
    <cfRule type="cellIs" dxfId="1311" priority="1524" operator="equal">
      <formula>"수리중"</formula>
    </cfRule>
    <cfRule type="cellIs" dxfId="1310" priority="1525" operator="equal">
      <formula>"수리불가"</formula>
    </cfRule>
  </conditionalFormatting>
  <conditionalFormatting sqref="I815">
    <cfRule type="cellIs" dxfId="1309" priority="1516" operator="equal">
      <formula>"폐기"</formula>
    </cfRule>
    <cfRule type="cellIs" dxfId="1308" priority="1517" operator="equal">
      <formula>"외주수리불가"</formula>
    </cfRule>
    <cfRule type="cellIs" dxfId="1307" priority="1518" operator="equal">
      <formula>"외주수리중"</formula>
    </cfRule>
    <cfRule type="cellIs" dxfId="1306" priority="1519" operator="equal">
      <formula>"수리중"</formula>
    </cfRule>
    <cfRule type="cellIs" dxfId="1305" priority="1520" operator="equal">
      <formula>"수리불가"</formula>
    </cfRule>
  </conditionalFormatting>
  <conditionalFormatting sqref="I817">
    <cfRule type="cellIs" dxfId="1304" priority="1511" operator="equal">
      <formula>"폐기"</formula>
    </cfRule>
    <cfRule type="cellIs" dxfId="1303" priority="1512" operator="equal">
      <formula>"외주수리불가"</formula>
    </cfRule>
    <cfRule type="cellIs" dxfId="1302" priority="1513" operator="equal">
      <formula>"외주수리중"</formula>
    </cfRule>
    <cfRule type="cellIs" dxfId="1301" priority="1514" operator="equal">
      <formula>"수리중"</formula>
    </cfRule>
    <cfRule type="cellIs" dxfId="1300" priority="1515" operator="equal">
      <formula>"수리불가"</formula>
    </cfRule>
  </conditionalFormatting>
  <conditionalFormatting sqref="I818">
    <cfRule type="cellIs" dxfId="1299" priority="1501" operator="equal">
      <formula>"폐기"</formula>
    </cfRule>
    <cfRule type="cellIs" dxfId="1298" priority="1502" operator="equal">
      <formula>"외주수리불가"</formula>
    </cfRule>
    <cfRule type="cellIs" dxfId="1297" priority="1503" operator="equal">
      <formula>"외주수리중"</formula>
    </cfRule>
    <cfRule type="cellIs" dxfId="1296" priority="1504" operator="equal">
      <formula>"수리중"</formula>
    </cfRule>
    <cfRule type="cellIs" dxfId="1295" priority="1505" operator="equal">
      <formula>"수리불가"</formula>
    </cfRule>
  </conditionalFormatting>
  <conditionalFormatting sqref="I831">
    <cfRule type="cellIs" dxfId="1294" priority="1496" operator="equal">
      <formula>"폐기"</formula>
    </cfRule>
    <cfRule type="cellIs" dxfId="1293" priority="1497" operator="equal">
      <formula>"외주수리불가"</formula>
    </cfRule>
    <cfRule type="cellIs" dxfId="1292" priority="1498" operator="equal">
      <formula>"외주수리중"</formula>
    </cfRule>
    <cfRule type="cellIs" dxfId="1291" priority="1499" operator="equal">
      <formula>"수리중"</formula>
    </cfRule>
    <cfRule type="cellIs" dxfId="1290" priority="1500" operator="equal">
      <formula>"수리불가"</formula>
    </cfRule>
  </conditionalFormatting>
  <conditionalFormatting sqref="I832">
    <cfRule type="cellIs" dxfId="1289" priority="1486" operator="equal">
      <formula>"폐기"</formula>
    </cfRule>
    <cfRule type="cellIs" dxfId="1288" priority="1487" operator="equal">
      <formula>"외주수리불가"</formula>
    </cfRule>
    <cfRule type="cellIs" dxfId="1287" priority="1488" operator="equal">
      <formula>"외주수리중"</formula>
    </cfRule>
    <cfRule type="cellIs" dxfId="1286" priority="1489" operator="equal">
      <formula>"수리중"</formula>
    </cfRule>
    <cfRule type="cellIs" dxfId="1285" priority="1490" operator="equal">
      <formula>"수리불가"</formula>
    </cfRule>
  </conditionalFormatting>
  <conditionalFormatting sqref="I842">
    <cfRule type="cellIs" dxfId="1284" priority="1481" operator="equal">
      <formula>"폐기"</formula>
    </cfRule>
    <cfRule type="cellIs" dxfId="1283" priority="1482" operator="equal">
      <formula>"외주수리불가"</formula>
    </cfRule>
    <cfRule type="cellIs" dxfId="1282" priority="1483" operator="equal">
      <formula>"외주수리중"</formula>
    </cfRule>
    <cfRule type="cellIs" dxfId="1281" priority="1484" operator="equal">
      <formula>"수리중"</formula>
    </cfRule>
    <cfRule type="cellIs" dxfId="1280" priority="1485" operator="equal">
      <formula>"수리불가"</formula>
    </cfRule>
  </conditionalFormatting>
  <conditionalFormatting sqref="I857">
    <cfRule type="cellIs" dxfId="1279" priority="1476" operator="equal">
      <formula>"폐기"</formula>
    </cfRule>
    <cfRule type="cellIs" dxfId="1278" priority="1477" operator="equal">
      <formula>"외주수리불가"</formula>
    </cfRule>
    <cfRule type="cellIs" dxfId="1277" priority="1478" operator="equal">
      <formula>"외주수리중"</formula>
    </cfRule>
    <cfRule type="cellIs" dxfId="1276" priority="1479" operator="equal">
      <formula>"수리중"</formula>
    </cfRule>
    <cfRule type="cellIs" dxfId="1275" priority="1480" operator="equal">
      <formula>"수리불가"</formula>
    </cfRule>
  </conditionalFormatting>
  <conditionalFormatting sqref="I861">
    <cfRule type="cellIs" dxfId="1274" priority="1471" operator="equal">
      <formula>"폐기"</formula>
    </cfRule>
    <cfRule type="cellIs" dxfId="1273" priority="1472" operator="equal">
      <formula>"외주수리불가"</formula>
    </cfRule>
    <cfRule type="cellIs" dxfId="1272" priority="1473" operator="equal">
      <formula>"외주수리중"</formula>
    </cfRule>
    <cfRule type="cellIs" dxfId="1271" priority="1474" operator="equal">
      <formula>"수리중"</formula>
    </cfRule>
    <cfRule type="cellIs" dxfId="1270" priority="1475" operator="equal">
      <formula>"수리불가"</formula>
    </cfRule>
  </conditionalFormatting>
  <conditionalFormatting sqref="I865">
    <cfRule type="cellIs" dxfId="1269" priority="1461" operator="equal">
      <formula>"폐기"</formula>
    </cfRule>
    <cfRule type="cellIs" dxfId="1268" priority="1462" operator="equal">
      <formula>"외주수리불가"</formula>
    </cfRule>
    <cfRule type="cellIs" dxfId="1267" priority="1463" operator="equal">
      <formula>"외주수리중"</formula>
    </cfRule>
    <cfRule type="cellIs" dxfId="1266" priority="1464" operator="equal">
      <formula>"수리중"</formula>
    </cfRule>
    <cfRule type="cellIs" dxfId="1265" priority="1465" operator="equal">
      <formula>"수리불가"</formula>
    </cfRule>
  </conditionalFormatting>
  <conditionalFormatting sqref="I866">
    <cfRule type="cellIs" dxfId="1264" priority="1456" operator="equal">
      <formula>"폐기"</formula>
    </cfRule>
    <cfRule type="cellIs" dxfId="1263" priority="1457" operator="equal">
      <formula>"외주수리불가"</formula>
    </cfRule>
    <cfRule type="cellIs" dxfId="1262" priority="1458" operator="equal">
      <formula>"외주수리중"</formula>
    </cfRule>
    <cfRule type="cellIs" dxfId="1261" priority="1459" operator="equal">
      <formula>"수리중"</formula>
    </cfRule>
    <cfRule type="cellIs" dxfId="1260" priority="1460" operator="equal">
      <formula>"수리불가"</formula>
    </cfRule>
  </conditionalFormatting>
  <conditionalFormatting sqref="I874">
    <cfRule type="cellIs" dxfId="1259" priority="1451" operator="equal">
      <formula>"폐기"</formula>
    </cfRule>
    <cfRule type="cellIs" dxfId="1258" priority="1452" operator="equal">
      <formula>"외주수리불가"</formula>
    </cfRule>
    <cfRule type="cellIs" dxfId="1257" priority="1453" operator="equal">
      <formula>"외주수리중"</formula>
    </cfRule>
    <cfRule type="cellIs" dxfId="1256" priority="1454" operator="equal">
      <formula>"수리중"</formula>
    </cfRule>
    <cfRule type="cellIs" dxfId="1255" priority="1455" operator="equal">
      <formula>"수리불가"</formula>
    </cfRule>
  </conditionalFormatting>
  <conditionalFormatting sqref="I875">
    <cfRule type="cellIs" dxfId="1254" priority="1446" operator="equal">
      <formula>"폐기"</formula>
    </cfRule>
    <cfRule type="cellIs" dxfId="1253" priority="1447" operator="equal">
      <formula>"외주수리불가"</formula>
    </cfRule>
    <cfRule type="cellIs" dxfId="1252" priority="1448" operator="equal">
      <formula>"외주수리중"</formula>
    </cfRule>
    <cfRule type="cellIs" dxfId="1251" priority="1449" operator="equal">
      <formula>"수리중"</formula>
    </cfRule>
    <cfRule type="cellIs" dxfId="1250" priority="1450" operator="equal">
      <formula>"수리불가"</formula>
    </cfRule>
  </conditionalFormatting>
  <conditionalFormatting sqref="I879">
    <cfRule type="cellIs" dxfId="1249" priority="1441" operator="equal">
      <formula>"폐기"</formula>
    </cfRule>
    <cfRule type="cellIs" dxfId="1248" priority="1442" operator="equal">
      <formula>"외주수리불가"</formula>
    </cfRule>
    <cfRule type="cellIs" dxfId="1247" priority="1443" operator="equal">
      <formula>"외주수리중"</formula>
    </cfRule>
    <cfRule type="cellIs" dxfId="1246" priority="1444" operator="equal">
      <formula>"수리중"</formula>
    </cfRule>
    <cfRule type="cellIs" dxfId="1245" priority="1445" operator="equal">
      <formula>"수리불가"</formula>
    </cfRule>
  </conditionalFormatting>
  <conditionalFormatting sqref="I880">
    <cfRule type="cellIs" dxfId="1244" priority="1436" operator="equal">
      <formula>"폐기"</formula>
    </cfRule>
    <cfRule type="cellIs" dxfId="1243" priority="1437" operator="equal">
      <formula>"외주수리불가"</formula>
    </cfRule>
    <cfRule type="cellIs" dxfId="1242" priority="1438" operator="equal">
      <formula>"외주수리중"</formula>
    </cfRule>
    <cfRule type="cellIs" dxfId="1241" priority="1439" operator="equal">
      <formula>"수리중"</formula>
    </cfRule>
    <cfRule type="cellIs" dxfId="1240" priority="1440" operator="equal">
      <formula>"수리불가"</formula>
    </cfRule>
  </conditionalFormatting>
  <conditionalFormatting sqref="I884">
    <cfRule type="cellIs" dxfId="1239" priority="1431" operator="equal">
      <formula>"폐기"</formula>
    </cfRule>
    <cfRule type="cellIs" dxfId="1238" priority="1432" operator="equal">
      <formula>"외주수리불가"</formula>
    </cfRule>
    <cfRule type="cellIs" dxfId="1237" priority="1433" operator="equal">
      <formula>"외주수리중"</formula>
    </cfRule>
    <cfRule type="cellIs" dxfId="1236" priority="1434" operator="equal">
      <formula>"수리중"</formula>
    </cfRule>
    <cfRule type="cellIs" dxfId="1235" priority="1435" operator="equal">
      <formula>"수리불가"</formula>
    </cfRule>
  </conditionalFormatting>
  <conditionalFormatting sqref="I886">
    <cfRule type="cellIs" dxfId="1234" priority="1426" operator="equal">
      <formula>"폐기"</formula>
    </cfRule>
    <cfRule type="cellIs" dxfId="1233" priority="1427" operator="equal">
      <formula>"외주수리불가"</formula>
    </cfRule>
    <cfRule type="cellIs" dxfId="1232" priority="1428" operator="equal">
      <formula>"외주수리중"</formula>
    </cfRule>
    <cfRule type="cellIs" dxfId="1231" priority="1429" operator="equal">
      <formula>"수리중"</formula>
    </cfRule>
    <cfRule type="cellIs" dxfId="1230" priority="1430" operator="equal">
      <formula>"수리불가"</formula>
    </cfRule>
  </conditionalFormatting>
  <conditionalFormatting sqref="I889">
    <cfRule type="cellIs" dxfId="1229" priority="1421" operator="equal">
      <formula>"폐기"</formula>
    </cfRule>
    <cfRule type="cellIs" dxfId="1228" priority="1422" operator="equal">
      <formula>"외주수리불가"</formula>
    </cfRule>
    <cfRule type="cellIs" dxfId="1227" priority="1423" operator="equal">
      <formula>"외주수리중"</formula>
    </cfRule>
    <cfRule type="cellIs" dxfId="1226" priority="1424" operator="equal">
      <formula>"수리중"</formula>
    </cfRule>
    <cfRule type="cellIs" dxfId="1225" priority="1425" operator="equal">
      <formula>"수리불가"</formula>
    </cfRule>
  </conditionalFormatting>
  <conditionalFormatting sqref="I890">
    <cfRule type="cellIs" dxfId="1224" priority="1416" operator="equal">
      <formula>"폐기"</formula>
    </cfRule>
    <cfRule type="cellIs" dxfId="1223" priority="1417" operator="equal">
      <formula>"외주수리불가"</formula>
    </cfRule>
    <cfRule type="cellIs" dxfId="1222" priority="1418" operator="equal">
      <formula>"외주수리중"</formula>
    </cfRule>
    <cfRule type="cellIs" dxfId="1221" priority="1419" operator="equal">
      <formula>"수리중"</formula>
    </cfRule>
    <cfRule type="cellIs" dxfId="1220" priority="1420" operator="equal">
      <formula>"수리불가"</formula>
    </cfRule>
  </conditionalFormatting>
  <conditionalFormatting sqref="I891">
    <cfRule type="cellIs" dxfId="1219" priority="1411" operator="equal">
      <formula>"폐기"</formula>
    </cfRule>
    <cfRule type="cellIs" dxfId="1218" priority="1412" operator="equal">
      <formula>"외주수리불가"</formula>
    </cfRule>
    <cfRule type="cellIs" dxfId="1217" priority="1413" operator="equal">
      <formula>"외주수리중"</formula>
    </cfRule>
    <cfRule type="cellIs" dxfId="1216" priority="1414" operator="equal">
      <formula>"수리중"</formula>
    </cfRule>
    <cfRule type="cellIs" dxfId="1215" priority="1415" operator="equal">
      <formula>"수리불가"</formula>
    </cfRule>
  </conditionalFormatting>
  <conditionalFormatting sqref="I892">
    <cfRule type="cellIs" dxfId="1214" priority="1406" operator="equal">
      <formula>"폐기"</formula>
    </cfRule>
    <cfRule type="cellIs" dxfId="1213" priority="1407" operator="equal">
      <formula>"외주수리불가"</formula>
    </cfRule>
    <cfRule type="cellIs" dxfId="1212" priority="1408" operator="equal">
      <formula>"외주수리중"</formula>
    </cfRule>
    <cfRule type="cellIs" dxfId="1211" priority="1409" operator="equal">
      <formula>"수리중"</formula>
    </cfRule>
    <cfRule type="cellIs" dxfId="1210" priority="1410" operator="equal">
      <formula>"수리불가"</formula>
    </cfRule>
  </conditionalFormatting>
  <conditionalFormatting sqref="I895">
    <cfRule type="cellIs" dxfId="1209" priority="1401" operator="equal">
      <formula>"폐기"</formula>
    </cfRule>
    <cfRule type="cellIs" dxfId="1208" priority="1402" operator="equal">
      <formula>"외주수리불가"</formula>
    </cfRule>
    <cfRule type="cellIs" dxfId="1207" priority="1403" operator="equal">
      <formula>"외주수리중"</formula>
    </cfRule>
    <cfRule type="cellIs" dxfId="1206" priority="1404" operator="equal">
      <formula>"수리중"</formula>
    </cfRule>
    <cfRule type="cellIs" dxfId="1205" priority="1405" operator="equal">
      <formula>"수리불가"</formula>
    </cfRule>
  </conditionalFormatting>
  <conditionalFormatting sqref="I897">
    <cfRule type="cellIs" dxfId="1204" priority="1396" operator="equal">
      <formula>"폐기"</formula>
    </cfRule>
    <cfRule type="cellIs" dxfId="1203" priority="1397" operator="equal">
      <formula>"외주수리불가"</formula>
    </cfRule>
    <cfRule type="cellIs" dxfId="1202" priority="1398" operator="equal">
      <formula>"외주수리중"</formula>
    </cfRule>
    <cfRule type="cellIs" dxfId="1201" priority="1399" operator="equal">
      <formula>"수리중"</formula>
    </cfRule>
    <cfRule type="cellIs" dxfId="1200" priority="1400" operator="equal">
      <formula>"수리불가"</formula>
    </cfRule>
  </conditionalFormatting>
  <conditionalFormatting sqref="I899">
    <cfRule type="cellIs" dxfId="1199" priority="1386" operator="equal">
      <formula>"폐기"</formula>
    </cfRule>
    <cfRule type="cellIs" dxfId="1198" priority="1387" operator="equal">
      <formula>"외주수리불가"</formula>
    </cfRule>
    <cfRule type="cellIs" dxfId="1197" priority="1388" operator="equal">
      <formula>"외주수리중"</formula>
    </cfRule>
    <cfRule type="cellIs" dxfId="1196" priority="1389" operator="equal">
      <formula>"수리중"</formula>
    </cfRule>
    <cfRule type="cellIs" dxfId="1195" priority="1390" operator="equal">
      <formula>"수리불가"</formula>
    </cfRule>
  </conditionalFormatting>
  <conditionalFormatting sqref="I900">
    <cfRule type="cellIs" dxfId="1194" priority="1381" operator="equal">
      <formula>"폐기"</formula>
    </cfRule>
    <cfRule type="cellIs" dxfId="1193" priority="1382" operator="equal">
      <formula>"외주수리불가"</formula>
    </cfRule>
    <cfRule type="cellIs" dxfId="1192" priority="1383" operator="equal">
      <formula>"외주수리중"</formula>
    </cfRule>
    <cfRule type="cellIs" dxfId="1191" priority="1384" operator="equal">
      <formula>"수리중"</formula>
    </cfRule>
    <cfRule type="cellIs" dxfId="1190" priority="1385" operator="equal">
      <formula>"수리불가"</formula>
    </cfRule>
  </conditionalFormatting>
  <conditionalFormatting sqref="I920">
    <cfRule type="cellIs" dxfId="1189" priority="1376" operator="equal">
      <formula>"폐기"</formula>
    </cfRule>
    <cfRule type="cellIs" dxfId="1188" priority="1377" operator="equal">
      <formula>"외주수리불가"</formula>
    </cfRule>
    <cfRule type="cellIs" dxfId="1187" priority="1378" operator="equal">
      <formula>"외주수리중"</formula>
    </cfRule>
    <cfRule type="cellIs" dxfId="1186" priority="1379" operator="equal">
      <formula>"수리중"</formula>
    </cfRule>
    <cfRule type="cellIs" dxfId="1185" priority="1380" operator="equal">
      <formula>"수리불가"</formula>
    </cfRule>
  </conditionalFormatting>
  <conditionalFormatting sqref="I921">
    <cfRule type="cellIs" dxfId="1184" priority="1371" operator="equal">
      <formula>"폐기"</formula>
    </cfRule>
    <cfRule type="cellIs" dxfId="1183" priority="1372" operator="equal">
      <formula>"외주수리불가"</formula>
    </cfRule>
    <cfRule type="cellIs" dxfId="1182" priority="1373" operator="equal">
      <formula>"외주수리중"</formula>
    </cfRule>
    <cfRule type="cellIs" dxfId="1181" priority="1374" operator="equal">
      <formula>"수리중"</formula>
    </cfRule>
    <cfRule type="cellIs" dxfId="1180" priority="1375" operator="equal">
      <formula>"수리불가"</formula>
    </cfRule>
  </conditionalFormatting>
  <conditionalFormatting sqref="I922">
    <cfRule type="cellIs" dxfId="1179" priority="1366" operator="equal">
      <formula>"폐기"</formula>
    </cfRule>
    <cfRule type="cellIs" dxfId="1178" priority="1367" operator="equal">
      <formula>"외주수리불가"</formula>
    </cfRule>
    <cfRule type="cellIs" dxfId="1177" priority="1368" operator="equal">
      <formula>"외주수리중"</formula>
    </cfRule>
    <cfRule type="cellIs" dxfId="1176" priority="1369" operator="equal">
      <formula>"수리중"</formula>
    </cfRule>
    <cfRule type="cellIs" dxfId="1175" priority="1370" operator="equal">
      <formula>"수리불가"</formula>
    </cfRule>
  </conditionalFormatting>
  <conditionalFormatting sqref="I924">
    <cfRule type="cellIs" dxfId="1174" priority="1361" operator="equal">
      <formula>"폐기"</formula>
    </cfRule>
    <cfRule type="cellIs" dxfId="1173" priority="1362" operator="equal">
      <formula>"외주수리불가"</formula>
    </cfRule>
    <cfRule type="cellIs" dxfId="1172" priority="1363" operator="equal">
      <formula>"외주수리중"</formula>
    </cfRule>
    <cfRule type="cellIs" dxfId="1171" priority="1364" operator="equal">
      <formula>"수리중"</formula>
    </cfRule>
    <cfRule type="cellIs" dxfId="1170" priority="1365" operator="equal">
      <formula>"수리불가"</formula>
    </cfRule>
  </conditionalFormatting>
  <conditionalFormatting sqref="I925">
    <cfRule type="cellIs" dxfId="1169" priority="1356" operator="equal">
      <formula>"폐기"</formula>
    </cfRule>
    <cfRule type="cellIs" dxfId="1168" priority="1357" operator="equal">
      <formula>"외주수리불가"</formula>
    </cfRule>
    <cfRule type="cellIs" dxfId="1167" priority="1358" operator="equal">
      <formula>"외주수리중"</formula>
    </cfRule>
    <cfRule type="cellIs" dxfId="1166" priority="1359" operator="equal">
      <formula>"수리중"</formula>
    </cfRule>
    <cfRule type="cellIs" dxfId="1165" priority="1360" operator="equal">
      <formula>"수리불가"</formula>
    </cfRule>
  </conditionalFormatting>
  <conditionalFormatting sqref="I926">
    <cfRule type="cellIs" dxfId="1164" priority="1351" operator="equal">
      <formula>"폐기"</formula>
    </cfRule>
    <cfRule type="cellIs" dxfId="1163" priority="1352" operator="equal">
      <formula>"외주수리불가"</formula>
    </cfRule>
    <cfRule type="cellIs" dxfId="1162" priority="1353" operator="equal">
      <formula>"외주수리중"</formula>
    </cfRule>
    <cfRule type="cellIs" dxfId="1161" priority="1354" operator="equal">
      <formula>"수리중"</formula>
    </cfRule>
    <cfRule type="cellIs" dxfId="1160" priority="1355" operator="equal">
      <formula>"수리불가"</formula>
    </cfRule>
  </conditionalFormatting>
  <conditionalFormatting sqref="I927">
    <cfRule type="cellIs" dxfId="1159" priority="1341" operator="equal">
      <formula>"폐기"</formula>
    </cfRule>
    <cfRule type="cellIs" dxfId="1158" priority="1342" operator="equal">
      <formula>"외주수리불가"</formula>
    </cfRule>
    <cfRule type="cellIs" dxfId="1157" priority="1343" operator="equal">
      <formula>"외주수리중"</formula>
    </cfRule>
    <cfRule type="cellIs" dxfId="1156" priority="1344" operator="equal">
      <formula>"수리중"</formula>
    </cfRule>
    <cfRule type="cellIs" dxfId="1155" priority="1345" operator="equal">
      <formula>"수리불가"</formula>
    </cfRule>
  </conditionalFormatting>
  <conditionalFormatting sqref="I930">
    <cfRule type="cellIs" dxfId="1154" priority="1336" operator="equal">
      <formula>"폐기"</formula>
    </cfRule>
    <cfRule type="cellIs" dxfId="1153" priority="1337" operator="equal">
      <formula>"외주수리불가"</formula>
    </cfRule>
    <cfRule type="cellIs" dxfId="1152" priority="1338" operator="equal">
      <formula>"외주수리중"</formula>
    </cfRule>
    <cfRule type="cellIs" dxfId="1151" priority="1339" operator="equal">
      <formula>"수리중"</formula>
    </cfRule>
    <cfRule type="cellIs" dxfId="1150" priority="1340" operator="equal">
      <formula>"수리불가"</formula>
    </cfRule>
  </conditionalFormatting>
  <conditionalFormatting sqref="I932">
    <cfRule type="cellIs" dxfId="1149" priority="1331" operator="equal">
      <formula>"폐기"</formula>
    </cfRule>
    <cfRule type="cellIs" dxfId="1148" priority="1332" operator="equal">
      <formula>"외주수리불가"</formula>
    </cfRule>
    <cfRule type="cellIs" dxfId="1147" priority="1333" operator="equal">
      <formula>"외주수리중"</formula>
    </cfRule>
    <cfRule type="cellIs" dxfId="1146" priority="1334" operator="equal">
      <formula>"수리중"</formula>
    </cfRule>
    <cfRule type="cellIs" dxfId="1145" priority="1335" operator="equal">
      <formula>"수리불가"</formula>
    </cfRule>
  </conditionalFormatting>
  <conditionalFormatting sqref="I943">
    <cfRule type="cellIs" dxfId="1144" priority="1326" operator="equal">
      <formula>"폐기"</formula>
    </cfRule>
    <cfRule type="cellIs" dxfId="1143" priority="1327" operator="equal">
      <formula>"외주수리불가"</formula>
    </cfRule>
    <cfRule type="cellIs" dxfId="1142" priority="1328" operator="equal">
      <formula>"외주수리중"</formula>
    </cfRule>
    <cfRule type="cellIs" dxfId="1141" priority="1329" operator="equal">
      <formula>"수리중"</formula>
    </cfRule>
    <cfRule type="cellIs" dxfId="1140" priority="1330" operator="equal">
      <formula>"수리불가"</formula>
    </cfRule>
  </conditionalFormatting>
  <conditionalFormatting sqref="I947">
    <cfRule type="cellIs" dxfId="1139" priority="1321" operator="equal">
      <formula>"폐기"</formula>
    </cfRule>
    <cfRule type="cellIs" dxfId="1138" priority="1322" operator="equal">
      <formula>"외주수리불가"</formula>
    </cfRule>
    <cfRule type="cellIs" dxfId="1137" priority="1323" operator="equal">
      <formula>"외주수리중"</formula>
    </cfRule>
    <cfRule type="cellIs" dxfId="1136" priority="1324" operator="equal">
      <formula>"수리중"</formula>
    </cfRule>
    <cfRule type="cellIs" dxfId="1135" priority="1325" operator="equal">
      <formula>"수리불가"</formula>
    </cfRule>
  </conditionalFormatting>
  <conditionalFormatting sqref="I957">
    <cfRule type="cellIs" dxfId="1134" priority="1316" operator="equal">
      <formula>"폐기"</formula>
    </cfRule>
    <cfRule type="cellIs" dxfId="1133" priority="1317" operator="equal">
      <formula>"외주수리불가"</formula>
    </cfRule>
    <cfRule type="cellIs" dxfId="1132" priority="1318" operator="equal">
      <formula>"외주수리중"</formula>
    </cfRule>
    <cfRule type="cellIs" dxfId="1131" priority="1319" operator="equal">
      <formula>"수리중"</formula>
    </cfRule>
    <cfRule type="cellIs" dxfId="1130" priority="1320" operator="equal">
      <formula>"수리불가"</formula>
    </cfRule>
  </conditionalFormatting>
  <conditionalFormatting sqref="I962">
    <cfRule type="cellIs" dxfId="1129" priority="1311" operator="equal">
      <formula>"폐기"</formula>
    </cfRule>
    <cfRule type="cellIs" dxfId="1128" priority="1312" operator="equal">
      <formula>"외주수리불가"</formula>
    </cfRule>
    <cfRule type="cellIs" dxfId="1127" priority="1313" operator="equal">
      <formula>"외주수리중"</formula>
    </cfRule>
    <cfRule type="cellIs" dxfId="1126" priority="1314" operator="equal">
      <formula>"수리중"</formula>
    </cfRule>
    <cfRule type="cellIs" dxfId="1125" priority="1315" operator="equal">
      <formula>"수리불가"</formula>
    </cfRule>
  </conditionalFormatting>
  <conditionalFormatting sqref="I963">
    <cfRule type="cellIs" dxfId="1124" priority="1306" operator="equal">
      <formula>"폐기"</formula>
    </cfRule>
    <cfRule type="cellIs" dxfId="1123" priority="1307" operator="equal">
      <formula>"외주수리불가"</formula>
    </cfRule>
    <cfRule type="cellIs" dxfId="1122" priority="1308" operator="equal">
      <formula>"외주수리중"</formula>
    </cfRule>
    <cfRule type="cellIs" dxfId="1121" priority="1309" operator="equal">
      <formula>"수리중"</formula>
    </cfRule>
    <cfRule type="cellIs" dxfId="1120" priority="1310" operator="equal">
      <formula>"수리불가"</formula>
    </cfRule>
  </conditionalFormatting>
  <conditionalFormatting sqref="I977">
    <cfRule type="cellIs" dxfId="1119" priority="1301" operator="equal">
      <formula>"폐기"</formula>
    </cfRule>
    <cfRule type="cellIs" dxfId="1118" priority="1302" operator="equal">
      <formula>"외주수리불가"</formula>
    </cfRule>
    <cfRule type="cellIs" dxfId="1117" priority="1303" operator="equal">
      <formula>"외주수리중"</formula>
    </cfRule>
    <cfRule type="cellIs" dxfId="1116" priority="1304" operator="equal">
      <formula>"수리중"</formula>
    </cfRule>
    <cfRule type="cellIs" dxfId="1115" priority="1305" operator="equal">
      <formula>"수리불가"</formula>
    </cfRule>
  </conditionalFormatting>
  <conditionalFormatting sqref="I985">
    <cfRule type="cellIs" dxfId="1114" priority="1296" operator="equal">
      <formula>"폐기"</formula>
    </cfRule>
    <cfRule type="cellIs" dxfId="1113" priority="1297" operator="equal">
      <formula>"외주수리불가"</formula>
    </cfRule>
    <cfRule type="cellIs" dxfId="1112" priority="1298" operator="equal">
      <formula>"외주수리중"</formula>
    </cfRule>
    <cfRule type="cellIs" dxfId="1111" priority="1299" operator="equal">
      <formula>"수리중"</formula>
    </cfRule>
    <cfRule type="cellIs" dxfId="1110" priority="1300" operator="equal">
      <formula>"수리불가"</formula>
    </cfRule>
  </conditionalFormatting>
  <conditionalFormatting sqref="I1006">
    <cfRule type="cellIs" dxfId="1109" priority="1291" operator="equal">
      <formula>"폐기"</formula>
    </cfRule>
    <cfRule type="cellIs" dxfId="1108" priority="1292" operator="equal">
      <formula>"외주수리불가"</formula>
    </cfRule>
    <cfRule type="cellIs" dxfId="1107" priority="1293" operator="equal">
      <formula>"외주수리중"</formula>
    </cfRule>
    <cfRule type="cellIs" dxfId="1106" priority="1294" operator="equal">
      <formula>"수리중"</formula>
    </cfRule>
    <cfRule type="cellIs" dxfId="1105" priority="1295" operator="equal">
      <formula>"수리불가"</formula>
    </cfRule>
  </conditionalFormatting>
  <conditionalFormatting sqref="I1008">
    <cfRule type="cellIs" dxfId="1104" priority="1286" operator="equal">
      <formula>"폐기"</formula>
    </cfRule>
    <cfRule type="cellIs" dxfId="1103" priority="1287" operator="equal">
      <formula>"외주수리불가"</formula>
    </cfRule>
    <cfRule type="cellIs" dxfId="1102" priority="1288" operator="equal">
      <formula>"외주수리중"</formula>
    </cfRule>
    <cfRule type="cellIs" dxfId="1101" priority="1289" operator="equal">
      <formula>"수리중"</formula>
    </cfRule>
    <cfRule type="cellIs" dxfId="1100" priority="1290" operator="equal">
      <formula>"수리불가"</formula>
    </cfRule>
  </conditionalFormatting>
  <conditionalFormatting sqref="I1022">
    <cfRule type="cellIs" dxfId="1099" priority="1281" operator="equal">
      <formula>"폐기"</formula>
    </cfRule>
    <cfRule type="cellIs" dxfId="1098" priority="1282" operator="equal">
      <formula>"외주수리불가"</formula>
    </cfRule>
    <cfRule type="cellIs" dxfId="1097" priority="1283" operator="equal">
      <formula>"외주수리중"</formula>
    </cfRule>
    <cfRule type="cellIs" dxfId="1096" priority="1284" operator="equal">
      <formula>"수리중"</formula>
    </cfRule>
    <cfRule type="cellIs" dxfId="1095" priority="1285" operator="equal">
      <formula>"수리불가"</formula>
    </cfRule>
  </conditionalFormatting>
  <conditionalFormatting sqref="I1031">
    <cfRule type="cellIs" dxfId="1094" priority="1276" operator="equal">
      <formula>"폐기"</formula>
    </cfRule>
    <cfRule type="cellIs" dxfId="1093" priority="1277" operator="equal">
      <formula>"외주수리불가"</formula>
    </cfRule>
    <cfRule type="cellIs" dxfId="1092" priority="1278" operator="equal">
      <formula>"외주수리중"</formula>
    </cfRule>
    <cfRule type="cellIs" dxfId="1091" priority="1279" operator="equal">
      <formula>"수리중"</formula>
    </cfRule>
    <cfRule type="cellIs" dxfId="1090" priority="1280" operator="equal">
      <formula>"수리불가"</formula>
    </cfRule>
  </conditionalFormatting>
  <conditionalFormatting sqref="I1033">
    <cfRule type="cellIs" dxfId="1089" priority="1271" operator="equal">
      <formula>"폐기"</formula>
    </cfRule>
    <cfRule type="cellIs" dxfId="1088" priority="1272" operator="equal">
      <formula>"외주수리불가"</formula>
    </cfRule>
    <cfRule type="cellIs" dxfId="1087" priority="1273" operator="equal">
      <formula>"외주수리중"</formula>
    </cfRule>
    <cfRule type="cellIs" dxfId="1086" priority="1274" operator="equal">
      <formula>"수리중"</formula>
    </cfRule>
    <cfRule type="cellIs" dxfId="1085" priority="1275" operator="equal">
      <formula>"수리불가"</formula>
    </cfRule>
  </conditionalFormatting>
  <conditionalFormatting sqref="I1034">
    <cfRule type="cellIs" dxfId="1084" priority="1266" operator="equal">
      <formula>"폐기"</formula>
    </cfRule>
    <cfRule type="cellIs" dxfId="1083" priority="1267" operator="equal">
      <formula>"외주수리불가"</formula>
    </cfRule>
    <cfRule type="cellIs" dxfId="1082" priority="1268" operator="equal">
      <formula>"외주수리중"</formula>
    </cfRule>
    <cfRule type="cellIs" dxfId="1081" priority="1269" operator="equal">
      <formula>"수리중"</formula>
    </cfRule>
    <cfRule type="cellIs" dxfId="1080" priority="1270" operator="equal">
      <formula>"수리불가"</formula>
    </cfRule>
  </conditionalFormatting>
  <conditionalFormatting sqref="I1036">
    <cfRule type="cellIs" dxfId="1079" priority="1261" operator="equal">
      <formula>"폐기"</formula>
    </cfRule>
    <cfRule type="cellIs" dxfId="1078" priority="1262" operator="equal">
      <formula>"외주수리불가"</formula>
    </cfRule>
    <cfRule type="cellIs" dxfId="1077" priority="1263" operator="equal">
      <formula>"외주수리중"</formula>
    </cfRule>
    <cfRule type="cellIs" dxfId="1076" priority="1264" operator="equal">
      <formula>"수리중"</formula>
    </cfRule>
    <cfRule type="cellIs" dxfId="1075" priority="1265" operator="equal">
      <formula>"수리불가"</formula>
    </cfRule>
  </conditionalFormatting>
  <conditionalFormatting sqref="I1042">
    <cfRule type="cellIs" dxfId="1074" priority="1256" operator="equal">
      <formula>"폐기"</formula>
    </cfRule>
    <cfRule type="cellIs" dxfId="1073" priority="1257" operator="equal">
      <formula>"외주수리불가"</formula>
    </cfRule>
    <cfRule type="cellIs" dxfId="1072" priority="1258" operator="equal">
      <formula>"외주수리중"</formula>
    </cfRule>
    <cfRule type="cellIs" dxfId="1071" priority="1259" operator="equal">
      <formula>"수리중"</formula>
    </cfRule>
    <cfRule type="cellIs" dxfId="1070" priority="1260" operator="equal">
      <formula>"수리불가"</formula>
    </cfRule>
  </conditionalFormatting>
  <conditionalFormatting sqref="I1049">
    <cfRule type="cellIs" dxfId="1069" priority="1251" operator="equal">
      <formula>"폐기"</formula>
    </cfRule>
    <cfRule type="cellIs" dxfId="1068" priority="1252" operator="equal">
      <formula>"외주수리불가"</formula>
    </cfRule>
    <cfRule type="cellIs" dxfId="1067" priority="1253" operator="equal">
      <formula>"외주수리중"</formula>
    </cfRule>
    <cfRule type="cellIs" dxfId="1066" priority="1254" operator="equal">
      <formula>"수리중"</formula>
    </cfRule>
    <cfRule type="cellIs" dxfId="1065" priority="1255" operator="equal">
      <formula>"수리불가"</formula>
    </cfRule>
  </conditionalFormatting>
  <conditionalFormatting sqref="I1052">
    <cfRule type="cellIs" dxfId="1064" priority="1241" operator="equal">
      <formula>"폐기"</formula>
    </cfRule>
    <cfRule type="cellIs" dxfId="1063" priority="1242" operator="equal">
      <formula>"외주수리불가"</formula>
    </cfRule>
    <cfRule type="cellIs" dxfId="1062" priority="1243" operator="equal">
      <formula>"외주수리중"</formula>
    </cfRule>
    <cfRule type="cellIs" dxfId="1061" priority="1244" operator="equal">
      <formula>"수리중"</formula>
    </cfRule>
    <cfRule type="cellIs" dxfId="1060" priority="1245" operator="equal">
      <formula>"수리불가"</formula>
    </cfRule>
  </conditionalFormatting>
  <conditionalFormatting sqref="I1053">
    <cfRule type="cellIs" dxfId="1059" priority="1236" operator="equal">
      <formula>"폐기"</formula>
    </cfRule>
    <cfRule type="cellIs" dxfId="1058" priority="1237" operator="equal">
      <formula>"외주수리불가"</formula>
    </cfRule>
    <cfRule type="cellIs" dxfId="1057" priority="1238" operator="equal">
      <formula>"외주수리중"</formula>
    </cfRule>
    <cfRule type="cellIs" dxfId="1056" priority="1239" operator="equal">
      <formula>"수리중"</formula>
    </cfRule>
    <cfRule type="cellIs" dxfId="1055" priority="1240" operator="equal">
      <formula>"수리불가"</formula>
    </cfRule>
  </conditionalFormatting>
  <conditionalFormatting sqref="I1054">
    <cfRule type="cellIs" dxfId="1054" priority="1231" operator="equal">
      <formula>"폐기"</formula>
    </cfRule>
    <cfRule type="cellIs" dxfId="1053" priority="1232" operator="equal">
      <formula>"외주수리불가"</formula>
    </cfRule>
    <cfRule type="cellIs" dxfId="1052" priority="1233" operator="equal">
      <formula>"외주수리중"</formula>
    </cfRule>
    <cfRule type="cellIs" dxfId="1051" priority="1234" operator="equal">
      <formula>"수리중"</formula>
    </cfRule>
    <cfRule type="cellIs" dxfId="1050" priority="1235" operator="equal">
      <formula>"수리불가"</formula>
    </cfRule>
  </conditionalFormatting>
  <conditionalFormatting sqref="I1055">
    <cfRule type="cellIs" dxfId="1049" priority="1226" operator="equal">
      <formula>"폐기"</formula>
    </cfRule>
    <cfRule type="cellIs" dxfId="1048" priority="1227" operator="equal">
      <formula>"외주수리불가"</formula>
    </cfRule>
    <cfRule type="cellIs" dxfId="1047" priority="1228" operator="equal">
      <formula>"외주수리중"</formula>
    </cfRule>
    <cfRule type="cellIs" dxfId="1046" priority="1229" operator="equal">
      <formula>"수리중"</formula>
    </cfRule>
    <cfRule type="cellIs" dxfId="1045" priority="1230" operator="equal">
      <formula>"수리불가"</formula>
    </cfRule>
  </conditionalFormatting>
  <conditionalFormatting sqref="I1035">
    <cfRule type="cellIs" dxfId="1044" priority="1221" operator="equal">
      <formula>"폐기"</formula>
    </cfRule>
    <cfRule type="cellIs" dxfId="1043" priority="1222" operator="equal">
      <formula>"외주수리불가"</formula>
    </cfRule>
    <cfRule type="cellIs" dxfId="1042" priority="1223" operator="equal">
      <formula>"외주수리중"</formula>
    </cfRule>
    <cfRule type="cellIs" dxfId="1041" priority="1224" operator="equal">
      <formula>"수리중"</formula>
    </cfRule>
    <cfRule type="cellIs" dxfId="1040" priority="1225" operator="equal">
      <formula>"수리불가"</formula>
    </cfRule>
  </conditionalFormatting>
  <conditionalFormatting sqref="I1076">
    <cfRule type="cellIs" dxfId="1039" priority="1216" operator="equal">
      <formula>"폐기"</formula>
    </cfRule>
    <cfRule type="cellIs" dxfId="1038" priority="1217" operator="equal">
      <formula>"외주수리불가"</formula>
    </cfRule>
    <cfRule type="cellIs" dxfId="1037" priority="1218" operator="equal">
      <formula>"외주수리중"</formula>
    </cfRule>
    <cfRule type="cellIs" dxfId="1036" priority="1219" operator="equal">
      <formula>"수리중"</formula>
    </cfRule>
    <cfRule type="cellIs" dxfId="1035" priority="1220" operator="equal">
      <formula>"수리불가"</formula>
    </cfRule>
  </conditionalFormatting>
  <conditionalFormatting sqref="I1085:I1086">
    <cfRule type="cellIs" dxfId="1034" priority="1211" operator="equal">
      <formula>"폐기"</formula>
    </cfRule>
    <cfRule type="cellIs" dxfId="1033" priority="1212" operator="equal">
      <formula>"외주수리불가"</formula>
    </cfRule>
    <cfRule type="cellIs" dxfId="1032" priority="1213" operator="equal">
      <formula>"외주수리중"</formula>
    </cfRule>
    <cfRule type="cellIs" dxfId="1031" priority="1214" operator="equal">
      <formula>"수리중"</formula>
    </cfRule>
    <cfRule type="cellIs" dxfId="1030" priority="1215" operator="equal">
      <formula>"수리불가"</formula>
    </cfRule>
  </conditionalFormatting>
  <conditionalFormatting sqref="I1088">
    <cfRule type="cellIs" dxfId="1029" priority="1206" operator="equal">
      <formula>"폐기"</formula>
    </cfRule>
    <cfRule type="cellIs" dxfId="1028" priority="1207" operator="equal">
      <formula>"외주수리불가"</formula>
    </cfRule>
    <cfRule type="cellIs" dxfId="1027" priority="1208" operator="equal">
      <formula>"외주수리중"</formula>
    </cfRule>
    <cfRule type="cellIs" dxfId="1026" priority="1209" operator="equal">
      <formula>"수리중"</formula>
    </cfRule>
    <cfRule type="cellIs" dxfId="1025" priority="1210" operator="equal">
      <formula>"수리불가"</formula>
    </cfRule>
  </conditionalFormatting>
  <conditionalFormatting sqref="I1092">
    <cfRule type="cellIs" dxfId="1024" priority="1201" operator="equal">
      <formula>"폐기"</formula>
    </cfRule>
    <cfRule type="cellIs" dxfId="1023" priority="1202" operator="equal">
      <formula>"외주수리불가"</formula>
    </cfRule>
    <cfRule type="cellIs" dxfId="1022" priority="1203" operator="equal">
      <formula>"외주수리중"</formula>
    </cfRule>
    <cfRule type="cellIs" dxfId="1021" priority="1204" operator="equal">
      <formula>"수리중"</formula>
    </cfRule>
    <cfRule type="cellIs" dxfId="1020" priority="1205" operator="equal">
      <formula>"수리불가"</formula>
    </cfRule>
  </conditionalFormatting>
  <conditionalFormatting sqref="I1100">
    <cfRule type="cellIs" dxfId="1019" priority="1196" operator="equal">
      <formula>"폐기"</formula>
    </cfRule>
    <cfRule type="cellIs" dxfId="1018" priority="1197" operator="equal">
      <formula>"외주수리불가"</formula>
    </cfRule>
    <cfRule type="cellIs" dxfId="1017" priority="1198" operator="equal">
      <formula>"외주수리중"</formula>
    </cfRule>
    <cfRule type="cellIs" dxfId="1016" priority="1199" operator="equal">
      <formula>"수리중"</formula>
    </cfRule>
    <cfRule type="cellIs" dxfId="1015" priority="1200" operator="equal">
      <formula>"수리불가"</formula>
    </cfRule>
  </conditionalFormatting>
  <conditionalFormatting sqref="I1117">
    <cfRule type="cellIs" dxfId="1014" priority="1191" operator="equal">
      <formula>"폐기"</formula>
    </cfRule>
    <cfRule type="cellIs" dxfId="1013" priority="1192" operator="equal">
      <formula>"외주수리불가"</formula>
    </cfRule>
    <cfRule type="cellIs" dxfId="1012" priority="1193" operator="equal">
      <formula>"외주수리중"</formula>
    </cfRule>
    <cfRule type="cellIs" dxfId="1011" priority="1194" operator="equal">
      <formula>"수리중"</formula>
    </cfRule>
    <cfRule type="cellIs" dxfId="1010" priority="1195" operator="equal">
      <formula>"수리불가"</formula>
    </cfRule>
  </conditionalFormatting>
  <conditionalFormatting sqref="I1135">
    <cfRule type="cellIs" dxfId="1009" priority="1186" operator="equal">
      <formula>"폐기"</formula>
    </cfRule>
    <cfRule type="cellIs" dxfId="1008" priority="1187" operator="equal">
      <formula>"외주수리불가"</formula>
    </cfRule>
    <cfRule type="cellIs" dxfId="1007" priority="1188" operator="equal">
      <formula>"외주수리중"</formula>
    </cfRule>
    <cfRule type="cellIs" dxfId="1006" priority="1189" operator="equal">
      <formula>"수리중"</formula>
    </cfRule>
    <cfRule type="cellIs" dxfId="1005" priority="1190" operator="equal">
      <formula>"수리불가"</formula>
    </cfRule>
  </conditionalFormatting>
  <conditionalFormatting sqref="I1137">
    <cfRule type="cellIs" dxfId="1004" priority="1181" operator="equal">
      <formula>"폐기"</formula>
    </cfRule>
    <cfRule type="cellIs" dxfId="1003" priority="1182" operator="equal">
      <formula>"외주수리불가"</formula>
    </cfRule>
    <cfRule type="cellIs" dxfId="1002" priority="1183" operator="equal">
      <formula>"외주수리중"</formula>
    </cfRule>
    <cfRule type="cellIs" dxfId="1001" priority="1184" operator="equal">
      <formula>"수리중"</formula>
    </cfRule>
    <cfRule type="cellIs" dxfId="1000" priority="1185" operator="equal">
      <formula>"수리불가"</formula>
    </cfRule>
  </conditionalFormatting>
  <conditionalFormatting sqref="I1144">
    <cfRule type="cellIs" dxfId="999" priority="1176" operator="equal">
      <formula>"폐기"</formula>
    </cfRule>
    <cfRule type="cellIs" dxfId="998" priority="1177" operator="equal">
      <formula>"외주수리불가"</formula>
    </cfRule>
    <cfRule type="cellIs" dxfId="997" priority="1178" operator="equal">
      <formula>"외주수리중"</formula>
    </cfRule>
    <cfRule type="cellIs" dxfId="996" priority="1179" operator="equal">
      <formula>"수리중"</formula>
    </cfRule>
    <cfRule type="cellIs" dxfId="995" priority="1180" operator="equal">
      <formula>"수리불가"</formula>
    </cfRule>
  </conditionalFormatting>
  <conditionalFormatting sqref="I1148">
    <cfRule type="cellIs" dxfId="994" priority="1171" operator="equal">
      <formula>"폐기"</formula>
    </cfRule>
    <cfRule type="cellIs" dxfId="993" priority="1172" operator="equal">
      <formula>"외주수리불가"</formula>
    </cfRule>
    <cfRule type="cellIs" dxfId="992" priority="1173" operator="equal">
      <formula>"외주수리중"</formula>
    </cfRule>
    <cfRule type="cellIs" dxfId="991" priority="1174" operator="equal">
      <formula>"수리중"</formula>
    </cfRule>
    <cfRule type="cellIs" dxfId="990" priority="1175" operator="equal">
      <formula>"수리불가"</formula>
    </cfRule>
  </conditionalFormatting>
  <conditionalFormatting sqref="I1149">
    <cfRule type="cellIs" dxfId="989" priority="1166" operator="equal">
      <formula>"폐기"</formula>
    </cfRule>
    <cfRule type="cellIs" dxfId="988" priority="1167" operator="equal">
      <formula>"외주수리불가"</formula>
    </cfRule>
    <cfRule type="cellIs" dxfId="987" priority="1168" operator="equal">
      <formula>"외주수리중"</formula>
    </cfRule>
    <cfRule type="cellIs" dxfId="986" priority="1169" operator="equal">
      <formula>"수리중"</formula>
    </cfRule>
    <cfRule type="cellIs" dxfId="985" priority="1170" operator="equal">
      <formula>"수리불가"</formula>
    </cfRule>
  </conditionalFormatting>
  <conditionalFormatting sqref="I1150">
    <cfRule type="cellIs" dxfId="984" priority="1161" operator="equal">
      <formula>"폐기"</formula>
    </cfRule>
    <cfRule type="cellIs" dxfId="983" priority="1162" operator="equal">
      <formula>"외주수리불가"</formula>
    </cfRule>
    <cfRule type="cellIs" dxfId="982" priority="1163" operator="equal">
      <formula>"외주수리중"</formula>
    </cfRule>
    <cfRule type="cellIs" dxfId="981" priority="1164" operator="equal">
      <formula>"수리중"</formula>
    </cfRule>
    <cfRule type="cellIs" dxfId="980" priority="1165" operator="equal">
      <formula>"수리불가"</formula>
    </cfRule>
  </conditionalFormatting>
  <conditionalFormatting sqref="I1151">
    <cfRule type="cellIs" dxfId="979" priority="1146" operator="equal">
      <formula>"폐기"</formula>
    </cfRule>
    <cfRule type="cellIs" dxfId="978" priority="1147" operator="equal">
      <formula>"외주수리불가"</formula>
    </cfRule>
    <cfRule type="cellIs" dxfId="977" priority="1148" operator="equal">
      <formula>"외주수리중"</formula>
    </cfRule>
    <cfRule type="cellIs" dxfId="976" priority="1149" operator="equal">
      <formula>"수리중"</formula>
    </cfRule>
    <cfRule type="cellIs" dxfId="975" priority="1150" operator="equal">
      <formula>"수리불가"</formula>
    </cfRule>
  </conditionalFormatting>
  <conditionalFormatting sqref="I1152">
    <cfRule type="cellIs" dxfId="974" priority="1141" operator="equal">
      <formula>"폐기"</formula>
    </cfRule>
    <cfRule type="cellIs" dxfId="973" priority="1142" operator="equal">
      <formula>"외주수리불가"</formula>
    </cfRule>
    <cfRule type="cellIs" dxfId="972" priority="1143" operator="equal">
      <formula>"외주수리중"</formula>
    </cfRule>
    <cfRule type="cellIs" dxfId="971" priority="1144" operator="equal">
      <formula>"수리중"</formula>
    </cfRule>
    <cfRule type="cellIs" dxfId="970" priority="1145" operator="equal">
      <formula>"수리불가"</formula>
    </cfRule>
  </conditionalFormatting>
  <conditionalFormatting sqref="I1158">
    <cfRule type="cellIs" dxfId="969" priority="1136" operator="equal">
      <formula>"폐기"</formula>
    </cfRule>
    <cfRule type="cellIs" dxfId="968" priority="1137" operator="equal">
      <formula>"외주수리불가"</formula>
    </cfRule>
    <cfRule type="cellIs" dxfId="967" priority="1138" operator="equal">
      <formula>"외주수리중"</formula>
    </cfRule>
    <cfRule type="cellIs" dxfId="966" priority="1139" operator="equal">
      <formula>"수리중"</formula>
    </cfRule>
    <cfRule type="cellIs" dxfId="965" priority="1140" operator="equal">
      <formula>"수리불가"</formula>
    </cfRule>
  </conditionalFormatting>
  <conditionalFormatting sqref="I1159">
    <cfRule type="cellIs" dxfId="964" priority="1131" operator="equal">
      <formula>"폐기"</formula>
    </cfRule>
    <cfRule type="cellIs" dxfId="963" priority="1132" operator="equal">
      <formula>"외주수리불가"</formula>
    </cfRule>
    <cfRule type="cellIs" dxfId="962" priority="1133" operator="equal">
      <formula>"외주수리중"</formula>
    </cfRule>
    <cfRule type="cellIs" dxfId="961" priority="1134" operator="equal">
      <formula>"수리중"</formula>
    </cfRule>
    <cfRule type="cellIs" dxfId="960" priority="1135" operator="equal">
      <formula>"수리불가"</formula>
    </cfRule>
  </conditionalFormatting>
  <conditionalFormatting sqref="I1160">
    <cfRule type="cellIs" dxfId="959" priority="1126" operator="equal">
      <formula>"폐기"</formula>
    </cfRule>
    <cfRule type="cellIs" dxfId="958" priority="1127" operator="equal">
      <formula>"외주수리불가"</formula>
    </cfRule>
    <cfRule type="cellIs" dxfId="957" priority="1128" operator="equal">
      <formula>"외주수리중"</formula>
    </cfRule>
    <cfRule type="cellIs" dxfId="956" priority="1129" operator="equal">
      <formula>"수리중"</formula>
    </cfRule>
    <cfRule type="cellIs" dxfId="955" priority="1130" operator="equal">
      <formula>"수리불가"</formula>
    </cfRule>
  </conditionalFormatting>
  <conditionalFormatting sqref="I1164">
    <cfRule type="cellIs" dxfId="954" priority="1121" operator="equal">
      <formula>"폐기"</formula>
    </cfRule>
    <cfRule type="cellIs" dxfId="953" priority="1122" operator="equal">
      <formula>"외주수리불가"</formula>
    </cfRule>
    <cfRule type="cellIs" dxfId="952" priority="1123" operator="equal">
      <formula>"외주수리중"</formula>
    </cfRule>
    <cfRule type="cellIs" dxfId="951" priority="1124" operator="equal">
      <formula>"수리중"</formula>
    </cfRule>
    <cfRule type="cellIs" dxfId="950" priority="1125" operator="equal">
      <formula>"수리불가"</formula>
    </cfRule>
  </conditionalFormatting>
  <conditionalFormatting sqref="I1165">
    <cfRule type="cellIs" dxfId="949" priority="1116" operator="equal">
      <formula>"폐기"</formula>
    </cfRule>
    <cfRule type="cellIs" dxfId="948" priority="1117" operator="equal">
      <formula>"외주수리불가"</formula>
    </cfRule>
    <cfRule type="cellIs" dxfId="947" priority="1118" operator="equal">
      <formula>"외주수리중"</formula>
    </cfRule>
    <cfRule type="cellIs" dxfId="946" priority="1119" operator="equal">
      <formula>"수리중"</formula>
    </cfRule>
    <cfRule type="cellIs" dxfId="945" priority="1120" operator="equal">
      <formula>"수리불가"</formula>
    </cfRule>
  </conditionalFormatting>
  <conditionalFormatting sqref="I1166">
    <cfRule type="cellIs" dxfId="944" priority="1111" operator="equal">
      <formula>"폐기"</formula>
    </cfRule>
    <cfRule type="cellIs" dxfId="943" priority="1112" operator="equal">
      <formula>"외주수리불가"</formula>
    </cfRule>
    <cfRule type="cellIs" dxfId="942" priority="1113" operator="equal">
      <formula>"외주수리중"</formula>
    </cfRule>
    <cfRule type="cellIs" dxfId="941" priority="1114" operator="equal">
      <formula>"수리중"</formula>
    </cfRule>
    <cfRule type="cellIs" dxfId="940" priority="1115" operator="equal">
      <formula>"수리불가"</formula>
    </cfRule>
  </conditionalFormatting>
  <conditionalFormatting sqref="I1170">
    <cfRule type="cellIs" dxfId="939" priority="1106" operator="equal">
      <formula>"폐기"</formula>
    </cfRule>
    <cfRule type="cellIs" dxfId="938" priority="1107" operator="equal">
      <formula>"외주수리불가"</formula>
    </cfRule>
    <cfRule type="cellIs" dxfId="937" priority="1108" operator="equal">
      <formula>"외주수리중"</formula>
    </cfRule>
    <cfRule type="cellIs" dxfId="936" priority="1109" operator="equal">
      <formula>"수리중"</formula>
    </cfRule>
    <cfRule type="cellIs" dxfId="935" priority="1110" operator="equal">
      <formula>"수리불가"</formula>
    </cfRule>
  </conditionalFormatting>
  <conditionalFormatting sqref="I1178">
    <cfRule type="cellIs" dxfId="934" priority="1101" operator="equal">
      <formula>"폐기"</formula>
    </cfRule>
    <cfRule type="cellIs" dxfId="933" priority="1102" operator="equal">
      <formula>"외주수리불가"</formula>
    </cfRule>
    <cfRule type="cellIs" dxfId="932" priority="1103" operator="equal">
      <formula>"외주수리중"</formula>
    </cfRule>
    <cfRule type="cellIs" dxfId="931" priority="1104" operator="equal">
      <formula>"수리중"</formula>
    </cfRule>
    <cfRule type="cellIs" dxfId="930" priority="1105" operator="equal">
      <formula>"수리불가"</formula>
    </cfRule>
  </conditionalFormatting>
  <conditionalFormatting sqref="I1179">
    <cfRule type="cellIs" dxfId="929" priority="1096" operator="equal">
      <formula>"폐기"</formula>
    </cfRule>
    <cfRule type="cellIs" dxfId="928" priority="1097" operator="equal">
      <formula>"외주수리불가"</formula>
    </cfRule>
    <cfRule type="cellIs" dxfId="927" priority="1098" operator="equal">
      <formula>"외주수리중"</formula>
    </cfRule>
    <cfRule type="cellIs" dxfId="926" priority="1099" operator="equal">
      <formula>"수리중"</formula>
    </cfRule>
    <cfRule type="cellIs" dxfId="925" priority="1100" operator="equal">
      <formula>"수리불가"</formula>
    </cfRule>
  </conditionalFormatting>
  <conditionalFormatting sqref="I1180">
    <cfRule type="cellIs" dxfId="924" priority="1091" operator="equal">
      <formula>"폐기"</formula>
    </cfRule>
    <cfRule type="cellIs" dxfId="923" priority="1092" operator="equal">
      <formula>"외주수리불가"</formula>
    </cfRule>
    <cfRule type="cellIs" dxfId="922" priority="1093" operator="equal">
      <formula>"외주수리중"</formula>
    </cfRule>
    <cfRule type="cellIs" dxfId="921" priority="1094" operator="equal">
      <formula>"수리중"</formula>
    </cfRule>
    <cfRule type="cellIs" dxfId="920" priority="1095" operator="equal">
      <formula>"수리불가"</formula>
    </cfRule>
  </conditionalFormatting>
  <conditionalFormatting sqref="I1191">
    <cfRule type="cellIs" dxfId="919" priority="1086" operator="equal">
      <formula>"폐기"</formula>
    </cfRule>
    <cfRule type="cellIs" dxfId="918" priority="1087" operator="equal">
      <formula>"외주수리불가"</formula>
    </cfRule>
    <cfRule type="cellIs" dxfId="917" priority="1088" operator="equal">
      <formula>"외주수리중"</formula>
    </cfRule>
    <cfRule type="cellIs" dxfId="916" priority="1089" operator="equal">
      <formula>"수리중"</formula>
    </cfRule>
    <cfRule type="cellIs" dxfId="915" priority="1090" operator="equal">
      <formula>"수리불가"</formula>
    </cfRule>
  </conditionalFormatting>
  <conditionalFormatting sqref="I1200">
    <cfRule type="cellIs" dxfId="914" priority="1081" operator="equal">
      <formula>"폐기"</formula>
    </cfRule>
    <cfRule type="cellIs" dxfId="913" priority="1082" operator="equal">
      <formula>"외주수리불가"</formula>
    </cfRule>
    <cfRule type="cellIs" dxfId="912" priority="1083" operator="equal">
      <formula>"외주수리중"</formula>
    </cfRule>
    <cfRule type="cellIs" dxfId="911" priority="1084" operator="equal">
      <formula>"수리중"</formula>
    </cfRule>
    <cfRule type="cellIs" dxfId="910" priority="1085" operator="equal">
      <formula>"수리불가"</formula>
    </cfRule>
  </conditionalFormatting>
  <conditionalFormatting sqref="I1201">
    <cfRule type="cellIs" dxfId="909" priority="1076" operator="equal">
      <formula>"폐기"</formula>
    </cfRule>
    <cfRule type="cellIs" dxfId="908" priority="1077" operator="equal">
      <formula>"외주수리불가"</formula>
    </cfRule>
    <cfRule type="cellIs" dxfId="907" priority="1078" operator="equal">
      <formula>"외주수리중"</formula>
    </cfRule>
    <cfRule type="cellIs" dxfId="906" priority="1079" operator="equal">
      <formula>"수리중"</formula>
    </cfRule>
    <cfRule type="cellIs" dxfId="905" priority="1080" operator="equal">
      <formula>"수리불가"</formula>
    </cfRule>
  </conditionalFormatting>
  <conditionalFormatting sqref="I1202">
    <cfRule type="cellIs" dxfId="904" priority="1071" operator="equal">
      <formula>"폐기"</formula>
    </cfRule>
    <cfRule type="cellIs" dxfId="903" priority="1072" operator="equal">
      <formula>"외주수리불가"</formula>
    </cfRule>
    <cfRule type="cellIs" dxfId="902" priority="1073" operator="equal">
      <formula>"외주수리중"</formula>
    </cfRule>
    <cfRule type="cellIs" dxfId="901" priority="1074" operator="equal">
      <formula>"수리중"</formula>
    </cfRule>
    <cfRule type="cellIs" dxfId="900" priority="1075" operator="equal">
      <formula>"수리불가"</formula>
    </cfRule>
  </conditionalFormatting>
  <conditionalFormatting sqref="I1204">
    <cfRule type="cellIs" dxfId="899" priority="1066" operator="equal">
      <formula>"폐기"</formula>
    </cfRule>
    <cfRule type="cellIs" dxfId="898" priority="1067" operator="equal">
      <formula>"외주수리불가"</formula>
    </cfRule>
    <cfRule type="cellIs" dxfId="897" priority="1068" operator="equal">
      <formula>"외주수리중"</formula>
    </cfRule>
    <cfRule type="cellIs" dxfId="896" priority="1069" operator="equal">
      <formula>"수리중"</formula>
    </cfRule>
    <cfRule type="cellIs" dxfId="895" priority="1070" operator="equal">
      <formula>"수리불가"</formula>
    </cfRule>
  </conditionalFormatting>
  <conditionalFormatting sqref="I1205">
    <cfRule type="cellIs" dxfId="894" priority="1061" operator="equal">
      <formula>"폐기"</formula>
    </cfRule>
    <cfRule type="cellIs" dxfId="893" priority="1062" operator="equal">
      <formula>"외주수리불가"</formula>
    </cfRule>
    <cfRule type="cellIs" dxfId="892" priority="1063" operator="equal">
      <formula>"외주수리중"</formula>
    </cfRule>
    <cfRule type="cellIs" dxfId="891" priority="1064" operator="equal">
      <formula>"수리중"</formula>
    </cfRule>
    <cfRule type="cellIs" dxfId="890" priority="1065" operator="equal">
      <formula>"수리불가"</formula>
    </cfRule>
  </conditionalFormatting>
  <conditionalFormatting sqref="I1214:I1215">
    <cfRule type="cellIs" dxfId="889" priority="1056" operator="equal">
      <formula>"폐기"</formula>
    </cfRule>
    <cfRule type="cellIs" dxfId="888" priority="1057" operator="equal">
      <formula>"외주수리불가"</formula>
    </cfRule>
    <cfRule type="cellIs" dxfId="887" priority="1058" operator="equal">
      <formula>"외주수리중"</formula>
    </cfRule>
    <cfRule type="cellIs" dxfId="886" priority="1059" operator="equal">
      <formula>"수리중"</formula>
    </cfRule>
    <cfRule type="cellIs" dxfId="885" priority="1060" operator="equal">
      <formula>"수리불가"</formula>
    </cfRule>
  </conditionalFormatting>
  <conditionalFormatting sqref="I1239:I1240">
    <cfRule type="cellIs" dxfId="884" priority="1046" operator="equal">
      <formula>"폐기"</formula>
    </cfRule>
    <cfRule type="cellIs" dxfId="883" priority="1047" operator="equal">
      <formula>"외주수리불가"</formula>
    </cfRule>
    <cfRule type="cellIs" dxfId="882" priority="1048" operator="equal">
      <formula>"외주수리중"</formula>
    </cfRule>
    <cfRule type="cellIs" dxfId="881" priority="1049" operator="equal">
      <formula>"수리중"</formula>
    </cfRule>
    <cfRule type="cellIs" dxfId="880" priority="1050" operator="equal">
      <formula>"수리불가"</formula>
    </cfRule>
  </conditionalFormatting>
  <conditionalFormatting sqref="I1259">
    <cfRule type="cellIs" dxfId="879" priority="1031" operator="equal">
      <formula>"폐기"</formula>
    </cfRule>
    <cfRule type="cellIs" dxfId="878" priority="1032" operator="equal">
      <formula>"외주수리불가"</formula>
    </cfRule>
    <cfRule type="cellIs" dxfId="877" priority="1033" operator="equal">
      <formula>"외주수리중"</formula>
    </cfRule>
    <cfRule type="cellIs" dxfId="876" priority="1034" operator="equal">
      <formula>"수리중"</formula>
    </cfRule>
    <cfRule type="cellIs" dxfId="875" priority="1035" operator="equal">
      <formula>"수리불가"</formula>
    </cfRule>
  </conditionalFormatting>
  <conditionalFormatting sqref="I1260">
    <cfRule type="cellIs" dxfId="874" priority="1026" operator="equal">
      <formula>"폐기"</formula>
    </cfRule>
    <cfRule type="cellIs" dxfId="873" priority="1027" operator="equal">
      <formula>"외주수리불가"</formula>
    </cfRule>
    <cfRule type="cellIs" dxfId="872" priority="1028" operator="equal">
      <formula>"외주수리중"</formula>
    </cfRule>
    <cfRule type="cellIs" dxfId="871" priority="1029" operator="equal">
      <formula>"수리중"</formula>
    </cfRule>
    <cfRule type="cellIs" dxfId="870" priority="1030" operator="equal">
      <formula>"수리불가"</formula>
    </cfRule>
  </conditionalFormatting>
  <conditionalFormatting sqref="I1261">
    <cfRule type="cellIs" dxfId="869" priority="1021" operator="equal">
      <formula>"폐기"</formula>
    </cfRule>
    <cfRule type="cellIs" dxfId="868" priority="1022" operator="equal">
      <formula>"외주수리불가"</formula>
    </cfRule>
    <cfRule type="cellIs" dxfId="867" priority="1023" operator="equal">
      <formula>"외주수리중"</formula>
    </cfRule>
    <cfRule type="cellIs" dxfId="866" priority="1024" operator="equal">
      <formula>"수리중"</formula>
    </cfRule>
    <cfRule type="cellIs" dxfId="865" priority="1025" operator="equal">
      <formula>"수리불가"</formula>
    </cfRule>
  </conditionalFormatting>
  <conditionalFormatting sqref="I1262">
    <cfRule type="cellIs" dxfId="864" priority="1016" operator="equal">
      <formula>"폐기"</formula>
    </cfRule>
    <cfRule type="cellIs" dxfId="863" priority="1017" operator="equal">
      <formula>"외주수리불가"</formula>
    </cfRule>
    <cfRule type="cellIs" dxfId="862" priority="1018" operator="equal">
      <formula>"외주수리중"</formula>
    </cfRule>
    <cfRule type="cellIs" dxfId="861" priority="1019" operator="equal">
      <formula>"수리중"</formula>
    </cfRule>
    <cfRule type="cellIs" dxfId="860" priority="1020" operator="equal">
      <formula>"수리불가"</formula>
    </cfRule>
  </conditionalFormatting>
  <conditionalFormatting sqref="I1264">
    <cfRule type="cellIs" dxfId="859" priority="1011" operator="equal">
      <formula>"폐기"</formula>
    </cfRule>
    <cfRule type="cellIs" dxfId="858" priority="1012" operator="equal">
      <formula>"외주수리불가"</formula>
    </cfRule>
    <cfRule type="cellIs" dxfId="857" priority="1013" operator="equal">
      <formula>"외주수리중"</formula>
    </cfRule>
    <cfRule type="cellIs" dxfId="856" priority="1014" operator="equal">
      <formula>"수리중"</formula>
    </cfRule>
    <cfRule type="cellIs" dxfId="855" priority="1015" operator="equal">
      <formula>"수리불가"</formula>
    </cfRule>
  </conditionalFormatting>
  <conditionalFormatting sqref="I1266">
    <cfRule type="cellIs" dxfId="854" priority="1006" operator="equal">
      <formula>"폐기"</formula>
    </cfRule>
    <cfRule type="cellIs" dxfId="853" priority="1007" operator="equal">
      <formula>"외주수리불가"</formula>
    </cfRule>
    <cfRule type="cellIs" dxfId="852" priority="1008" operator="equal">
      <formula>"외주수리중"</formula>
    </cfRule>
    <cfRule type="cellIs" dxfId="851" priority="1009" operator="equal">
      <formula>"수리중"</formula>
    </cfRule>
    <cfRule type="cellIs" dxfId="850" priority="1010" operator="equal">
      <formula>"수리불가"</formula>
    </cfRule>
  </conditionalFormatting>
  <conditionalFormatting sqref="I1267">
    <cfRule type="cellIs" dxfId="849" priority="1001" operator="equal">
      <formula>"폐기"</formula>
    </cfRule>
    <cfRule type="cellIs" dxfId="848" priority="1002" operator="equal">
      <formula>"외주수리불가"</formula>
    </cfRule>
    <cfRule type="cellIs" dxfId="847" priority="1003" operator="equal">
      <formula>"외주수리중"</formula>
    </cfRule>
    <cfRule type="cellIs" dxfId="846" priority="1004" operator="equal">
      <formula>"수리중"</formula>
    </cfRule>
    <cfRule type="cellIs" dxfId="845" priority="1005" operator="equal">
      <formula>"수리불가"</formula>
    </cfRule>
  </conditionalFormatting>
  <conditionalFormatting sqref="I1272">
    <cfRule type="cellIs" dxfId="844" priority="996" operator="equal">
      <formula>"폐기"</formula>
    </cfRule>
    <cfRule type="cellIs" dxfId="843" priority="997" operator="equal">
      <formula>"외주수리불가"</formula>
    </cfRule>
    <cfRule type="cellIs" dxfId="842" priority="998" operator="equal">
      <formula>"외주수리중"</formula>
    </cfRule>
    <cfRule type="cellIs" dxfId="841" priority="999" operator="equal">
      <formula>"수리중"</formula>
    </cfRule>
    <cfRule type="cellIs" dxfId="840" priority="1000" operator="equal">
      <formula>"수리불가"</formula>
    </cfRule>
  </conditionalFormatting>
  <conditionalFormatting sqref="I1279">
    <cfRule type="cellIs" dxfId="839" priority="991" operator="equal">
      <formula>"폐기"</formula>
    </cfRule>
    <cfRule type="cellIs" dxfId="838" priority="992" operator="equal">
      <formula>"외주수리불가"</formula>
    </cfRule>
    <cfRule type="cellIs" dxfId="837" priority="993" operator="equal">
      <formula>"외주수리중"</formula>
    </cfRule>
    <cfRule type="cellIs" dxfId="836" priority="994" operator="equal">
      <formula>"수리중"</formula>
    </cfRule>
    <cfRule type="cellIs" dxfId="835" priority="995" operator="equal">
      <formula>"수리불가"</formula>
    </cfRule>
  </conditionalFormatting>
  <conditionalFormatting sqref="I1283">
    <cfRule type="cellIs" dxfId="834" priority="986" operator="equal">
      <formula>"폐기"</formula>
    </cfRule>
    <cfRule type="cellIs" dxfId="833" priority="987" operator="equal">
      <formula>"외주수리불가"</formula>
    </cfRule>
    <cfRule type="cellIs" dxfId="832" priority="988" operator="equal">
      <formula>"외주수리중"</formula>
    </cfRule>
    <cfRule type="cellIs" dxfId="831" priority="989" operator="equal">
      <formula>"수리중"</formula>
    </cfRule>
    <cfRule type="cellIs" dxfId="830" priority="990" operator="equal">
      <formula>"수리불가"</formula>
    </cfRule>
  </conditionalFormatting>
  <conditionalFormatting sqref="I1305">
    <cfRule type="cellIs" dxfId="829" priority="981" operator="equal">
      <formula>"폐기"</formula>
    </cfRule>
    <cfRule type="cellIs" dxfId="828" priority="982" operator="equal">
      <formula>"외주수리불가"</formula>
    </cfRule>
    <cfRule type="cellIs" dxfId="827" priority="983" operator="equal">
      <formula>"외주수리중"</formula>
    </cfRule>
    <cfRule type="cellIs" dxfId="826" priority="984" operator="equal">
      <formula>"수리중"</formula>
    </cfRule>
    <cfRule type="cellIs" dxfId="825" priority="985" operator="equal">
      <formula>"수리불가"</formula>
    </cfRule>
  </conditionalFormatting>
  <conditionalFormatting sqref="I1311">
    <cfRule type="cellIs" dxfId="824" priority="976" operator="equal">
      <formula>"폐기"</formula>
    </cfRule>
    <cfRule type="cellIs" dxfId="823" priority="977" operator="equal">
      <formula>"외주수리불가"</formula>
    </cfRule>
    <cfRule type="cellIs" dxfId="822" priority="978" operator="equal">
      <formula>"외주수리중"</formula>
    </cfRule>
    <cfRule type="cellIs" dxfId="821" priority="979" operator="equal">
      <formula>"수리중"</formula>
    </cfRule>
    <cfRule type="cellIs" dxfId="820" priority="980" operator="equal">
      <formula>"수리불가"</formula>
    </cfRule>
  </conditionalFormatting>
  <conditionalFormatting sqref="I1312">
    <cfRule type="cellIs" dxfId="819" priority="971" operator="equal">
      <formula>"폐기"</formula>
    </cfRule>
    <cfRule type="cellIs" dxfId="818" priority="972" operator="equal">
      <formula>"외주수리불가"</formula>
    </cfRule>
    <cfRule type="cellIs" dxfId="817" priority="973" operator="equal">
      <formula>"외주수리중"</formula>
    </cfRule>
    <cfRule type="cellIs" dxfId="816" priority="974" operator="equal">
      <formula>"수리중"</formula>
    </cfRule>
    <cfRule type="cellIs" dxfId="815" priority="975" operator="equal">
      <formula>"수리불가"</formula>
    </cfRule>
  </conditionalFormatting>
  <conditionalFormatting sqref="I1325">
    <cfRule type="cellIs" dxfId="814" priority="966" operator="equal">
      <formula>"폐기"</formula>
    </cfRule>
    <cfRule type="cellIs" dxfId="813" priority="967" operator="equal">
      <formula>"외주수리불가"</formula>
    </cfRule>
    <cfRule type="cellIs" dxfId="812" priority="968" operator="equal">
      <formula>"외주수리중"</formula>
    </cfRule>
    <cfRule type="cellIs" dxfId="811" priority="969" operator="equal">
      <formula>"수리중"</formula>
    </cfRule>
    <cfRule type="cellIs" dxfId="810" priority="970" operator="equal">
      <formula>"수리불가"</formula>
    </cfRule>
  </conditionalFormatting>
  <conditionalFormatting sqref="I1335">
    <cfRule type="cellIs" dxfId="809" priority="961" operator="equal">
      <formula>"폐기"</formula>
    </cfRule>
    <cfRule type="cellIs" dxfId="808" priority="962" operator="equal">
      <formula>"외주수리불가"</formula>
    </cfRule>
    <cfRule type="cellIs" dxfId="807" priority="963" operator="equal">
      <formula>"외주수리중"</formula>
    </cfRule>
    <cfRule type="cellIs" dxfId="806" priority="964" operator="equal">
      <formula>"수리중"</formula>
    </cfRule>
    <cfRule type="cellIs" dxfId="805" priority="965" operator="equal">
      <formula>"수리불가"</formula>
    </cfRule>
  </conditionalFormatting>
  <conditionalFormatting sqref="I1336">
    <cfRule type="cellIs" dxfId="804" priority="956" operator="equal">
      <formula>"폐기"</formula>
    </cfRule>
    <cfRule type="cellIs" dxfId="803" priority="957" operator="equal">
      <formula>"외주수리불가"</formula>
    </cfRule>
    <cfRule type="cellIs" dxfId="802" priority="958" operator="equal">
      <formula>"외주수리중"</formula>
    </cfRule>
    <cfRule type="cellIs" dxfId="801" priority="959" operator="equal">
      <formula>"수리중"</formula>
    </cfRule>
    <cfRule type="cellIs" dxfId="800" priority="960" operator="equal">
      <formula>"수리불가"</formula>
    </cfRule>
  </conditionalFormatting>
  <conditionalFormatting sqref="I1337">
    <cfRule type="cellIs" dxfId="799" priority="951" operator="equal">
      <formula>"폐기"</formula>
    </cfRule>
    <cfRule type="cellIs" dxfId="798" priority="952" operator="equal">
      <formula>"외주수리불가"</formula>
    </cfRule>
    <cfRule type="cellIs" dxfId="797" priority="953" operator="equal">
      <formula>"외주수리중"</formula>
    </cfRule>
    <cfRule type="cellIs" dxfId="796" priority="954" operator="equal">
      <formula>"수리중"</formula>
    </cfRule>
    <cfRule type="cellIs" dxfId="795" priority="955" operator="equal">
      <formula>"수리불가"</formula>
    </cfRule>
  </conditionalFormatting>
  <conditionalFormatting sqref="I1338">
    <cfRule type="cellIs" dxfId="794" priority="946" operator="equal">
      <formula>"폐기"</formula>
    </cfRule>
    <cfRule type="cellIs" dxfId="793" priority="947" operator="equal">
      <formula>"외주수리불가"</formula>
    </cfRule>
    <cfRule type="cellIs" dxfId="792" priority="948" operator="equal">
      <formula>"외주수리중"</formula>
    </cfRule>
    <cfRule type="cellIs" dxfId="791" priority="949" operator="equal">
      <formula>"수리중"</formula>
    </cfRule>
    <cfRule type="cellIs" dxfId="790" priority="950" operator="equal">
      <formula>"수리불가"</formula>
    </cfRule>
  </conditionalFormatting>
  <conditionalFormatting sqref="I1341:I1342">
    <cfRule type="cellIs" dxfId="789" priority="941" operator="equal">
      <formula>"폐기"</formula>
    </cfRule>
    <cfRule type="cellIs" dxfId="788" priority="942" operator="equal">
      <formula>"외주수리불가"</formula>
    </cfRule>
    <cfRule type="cellIs" dxfId="787" priority="943" operator="equal">
      <formula>"외주수리중"</formula>
    </cfRule>
    <cfRule type="cellIs" dxfId="786" priority="944" operator="equal">
      <formula>"수리중"</formula>
    </cfRule>
    <cfRule type="cellIs" dxfId="785" priority="945" operator="equal">
      <formula>"수리불가"</formula>
    </cfRule>
  </conditionalFormatting>
  <conditionalFormatting sqref="I1347">
    <cfRule type="cellIs" dxfId="784" priority="936" operator="equal">
      <formula>"폐기"</formula>
    </cfRule>
    <cfRule type="cellIs" dxfId="783" priority="937" operator="equal">
      <formula>"외주수리불가"</formula>
    </cfRule>
    <cfRule type="cellIs" dxfId="782" priority="938" operator="equal">
      <formula>"외주수리중"</formula>
    </cfRule>
    <cfRule type="cellIs" dxfId="781" priority="939" operator="equal">
      <formula>"수리중"</formula>
    </cfRule>
    <cfRule type="cellIs" dxfId="780" priority="940" operator="equal">
      <formula>"수리불가"</formula>
    </cfRule>
  </conditionalFormatting>
  <conditionalFormatting sqref="I1348">
    <cfRule type="cellIs" dxfId="779" priority="931" operator="equal">
      <formula>"폐기"</formula>
    </cfRule>
    <cfRule type="cellIs" dxfId="778" priority="932" operator="equal">
      <formula>"외주수리불가"</formula>
    </cfRule>
    <cfRule type="cellIs" dxfId="777" priority="933" operator="equal">
      <formula>"외주수리중"</formula>
    </cfRule>
    <cfRule type="cellIs" dxfId="776" priority="934" operator="equal">
      <formula>"수리중"</formula>
    </cfRule>
    <cfRule type="cellIs" dxfId="775" priority="935" operator="equal">
      <formula>"수리불가"</formula>
    </cfRule>
  </conditionalFormatting>
  <conditionalFormatting sqref="I1350">
    <cfRule type="cellIs" dxfId="774" priority="921" operator="equal">
      <formula>"폐기"</formula>
    </cfRule>
    <cfRule type="cellIs" dxfId="773" priority="922" operator="equal">
      <formula>"외주수리불가"</formula>
    </cfRule>
    <cfRule type="cellIs" dxfId="772" priority="923" operator="equal">
      <formula>"외주수리중"</formula>
    </cfRule>
    <cfRule type="cellIs" dxfId="771" priority="924" operator="equal">
      <formula>"수리중"</formula>
    </cfRule>
    <cfRule type="cellIs" dxfId="770" priority="925" operator="equal">
      <formula>"수리불가"</formula>
    </cfRule>
  </conditionalFormatting>
  <conditionalFormatting sqref="I1354">
    <cfRule type="cellIs" dxfId="769" priority="916" operator="equal">
      <formula>"폐기"</formula>
    </cfRule>
    <cfRule type="cellIs" dxfId="768" priority="917" operator="equal">
      <formula>"외주수리불가"</formula>
    </cfRule>
    <cfRule type="cellIs" dxfId="767" priority="918" operator="equal">
      <formula>"외주수리중"</formula>
    </cfRule>
    <cfRule type="cellIs" dxfId="766" priority="919" operator="equal">
      <formula>"수리중"</formula>
    </cfRule>
    <cfRule type="cellIs" dxfId="765" priority="920" operator="equal">
      <formula>"수리불가"</formula>
    </cfRule>
  </conditionalFormatting>
  <conditionalFormatting sqref="I1356">
    <cfRule type="cellIs" dxfId="764" priority="911" operator="equal">
      <formula>"폐기"</formula>
    </cfRule>
    <cfRule type="cellIs" dxfId="763" priority="912" operator="equal">
      <formula>"외주수리불가"</formula>
    </cfRule>
    <cfRule type="cellIs" dxfId="762" priority="913" operator="equal">
      <formula>"외주수리중"</formula>
    </cfRule>
    <cfRule type="cellIs" dxfId="761" priority="914" operator="equal">
      <formula>"수리중"</formula>
    </cfRule>
    <cfRule type="cellIs" dxfId="760" priority="915" operator="equal">
      <formula>"수리불가"</formula>
    </cfRule>
  </conditionalFormatting>
  <conditionalFormatting sqref="I1362">
    <cfRule type="cellIs" dxfId="759" priority="896" operator="equal">
      <formula>"폐기"</formula>
    </cfRule>
    <cfRule type="cellIs" dxfId="758" priority="897" operator="equal">
      <formula>"외주수리불가"</formula>
    </cfRule>
    <cfRule type="cellIs" dxfId="757" priority="898" operator="equal">
      <formula>"외주수리중"</formula>
    </cfRule>
    <cfRule type="cellIs" dxfId="756" priority="899" operator="equal">
      <formula>"수리중"</formula>
    </cfRule>
    <cfRule type="cellIs" dxfId="755" priority="900" operator="equal">
      <formula>"수리불가"</formula>
    </cfRule>
  </conditionalFormatting>
  <conditionalFormatting sqref="I1363">
    <cfRule type="cellIs" dxfId="754" priority="891" operator="equal">
      <formula>"폐기"</formula>
    </cfRule>
    <cfRule type="cellIs" dxfId="753" priority="892" operator="equal">
      <formula>"외주수리불가"</formula>
    </cfRule>
    <cfRule type="cellIs" dxfId="752" priority="893" operator="equal">
      <formula>"외주수리중"</formula>
    </cfRule>
    <cfRule type="cellIs" dxfId="751" priority="894" operator="equal">
      <formula>"수리중"</formula>
    </cfRule>
    <cfRule type="cellIs" dxfId="750" priority="895" operator="equal">
      <formula>"수리불가"</formula>
    </cfRule>
  </conditionalFormatting>
  <conditionalFormatting sqref="I1365">
    <cfRule type="cellIs" dxfId="749" priority="886" operator="equal">
      <formula>"폐기"</formula>
    </cfRule>
    <cfRule type="cellIs" dxfId="748" priority="887" operator="equal">
      <formula>"외주수리불가"</formula>
    </cfRule>
    <cfRule type="cellIs" dxfId="747" priority="888" operator="equal">
      <formula>"외주수리중"</formula>
    </cfRule>
    <cfRule type="cellIs" dxfId="746" priority="889" operator="equal">
      <formula>"수리중"</formula>
    </cfRule>
    <cfRule type="cellIs" dxfId="745" priority="890" operator="equal">
      <formula>"수리불가"</formula>
    </cfRule>
  </conditionalFormatting>
  <conditionalFormatting sqref="I862">
    <cfRule type="cellIs" dxfId="744" priority="881" operator="equal">
      <formula>"폐기"</formula>
    </cfRule>
    <cfRule type="cellIs" dxfId="743" priority="882" operator="equal">
      <formula>"외주수리불가"</formula>
    </cfRule>
    <cfRule type="cellIs" dxfId="742" priority="883" operator="equal">
      <formula>"외주수리중"</formula>
    </cfRule>
    <cfRule type="cellIs" dxfId="741" priority="884" operator="equal">
      <formula>"수리중"</formula>
    </cfRule>
    <cfRule type="cellIs" dxfId="740" priority="885" operator="equal">
      <formula>"수리불가"</formula>
    </cfRule>
  </conditionalFormatting>
  <conditionalFormatting sqref="I1377">
    <cfRule type="cellIs" dxfId="739" priority="876" operator="equal">
      <formula>"폐기"</formula>
    </cfRule>
    <cfRule type="cellIs" dxfId="738" priority="877" operator="equal">
      <formula>"외주수리불가"</formula>
    </cfRule>
    <cfRule type="cellIs" dxfId="737" priority="878" operator="equal">
      <formula>"외주수리중"</formula>
    </cfRule>
    <cfRule type="cellIs" dxfId="736" priority="879" operator="equal">
      <formula>"수리중"</formula>
    </cfRule>
    <cfRule type="cellIs" dxfId="735" priority="880" operator="equal">
      <formula>"수리불가"</formula>
    </cfRule>
  </conditionalFormatting>
  <conditionalFormatting sqref="I1403:I1404">
    <cfRule type="cellIs" dxfId="734" priority="871" operator="equal">
      <formula>"폐기"</formula>
    </cfRule>
    <cfRule type="cellIs" dxfId="733" priority="872" operator="equal">
      <formula>"외주수리불가"</formula>
    </cfRule>
    <cfRule type="cellIs" dxfId="732" priority="873" operator="equal">
      <formula>"외주수리중"</formula>
    </cfRule>
    <cfRule type="cellIs" dxfId="731" priority="874" operator="equal">
      <formula>"수리중"</formula>
    </cfRule>
    <cfRule type="cellIs" dxfId="730" priority="875" operator="equal">
      <formula>"수리불가"</formula>
    </cfRule>
  </conditionalFormatting>
  <conditionalFormatting sqref="I1405">
    <cfRule type="cellIs" dxfId="729" priority="861" operator="equal">
      <formula>"폐기"</formula>
    </cfRule>
    <cfRule type="cellIs" dxfId="728" priority="862" operator="equal">
      <formula>"외주수리불가"</formula>
    </cfRule>
    <cfRule type="cellIs" dxfId="727" priority="863" operator="equal">
      <formula>"외주수리중"</formula>
    </cfRule>
    <cfRule type="cellIs" dxfId="726" priority="864" operator="equal">
      <formula>"수리중"</formula>
    </cfRule>
    <cfRule type="cellIs" dxfId="725" priority="865" operator="equal">
      <formula>"수리불가"</formula>
    </cfRule>
  </conditionalFormatting>
  <conditionalFormatting sqref="I1406">
    <cfRule type="cellIs" dxfId="724" priority="856" operator="equal">
      <formula>"폐기"</formula>
    </cfRule>
    <cfRule type="cellIs" dxfId="723" priority="857" operator="equal">
      <formula>"외주수리불가"</formula>
    </cfRule>
    <cfRule type="cellIs" dxfId="722" priority="858" operator="equal">
      <formula>"외주수리중"</formula>
    </cfRule>
    <cfRule type="cellIs" dxfId="721" priority="859" operator="equal">
      <formula>"수리중"</formula>
    </cfRule>
    <cfRule type="cellIs" dxfId="720" priority="860" operator="equal">
      <formula>"수리불가"</formula>
    </cfRule>
  </conditionalFormatting>
  <conditionalFormatting sqref="I1412">
    <cfRule type="cellIs" dxfId="719" priority="846" operator="equal">
      <formula>"폐기"</formula>
    </cfRule>
    <cfRule type="cellIs" dxfId="718" priority="847" operator="equal">
      <formula>"외주수리불가"</formula>
    </cfRule>
    <cfRule type="cellIs" dxfId="717" priority="848" operator="equal">
      <formula>"외주수리중"</formula>
    </cfRule>
    <cfRule type="cellIs" dxfId="716" priority="849" operator="equal">
      <formula>"수리중"</formula>
    </cfRule>
    <cfRule type="cellIs" dxfId="715" priority="850" operator="equal">
      <formula>"수리불가"</formula>
    </cfRule>
  </conditionalFormatting>
  <conditionalFormatting sqref="I1424">
    <cfRule type="cellIs" dxfId="714" priority="841" operator="equal">
      <formula>"폐기"</formula>
    </cfRule>
    <cfRule type="cellIs" dxfId="713" priority="842" operator="equal">
      <formula>"외주수리불가"</formula>
    </cfRule>
    <cfRule type="cellIs" dxfId="712" priority="843" operator="equal">
      <formula>"외주수리중"</formula>
    </cfRule>
    <cfRule type="cellIs" dxfId="711" priority="844" operator="equal">
      <formula>"수리중"</formula>
    </cfRule>
    <cfRule type="cellIs" dxfId="710" priority="845" operator="equal">
      <formula>"수리불가"</formula>
    </cfRule>
  </conditionalFormatting>
  <conditionalFormatting sqref="I1427">
    <cfRule type="cellIs" dxfId="709" priority="836" operator="equal">
      <formula>"폐기"</formula>
    </cfRule>
    <cfRule type="cellIs" dxfId="708" priority="837" operator="equal">
      <formula>"외주수리불가"</formula>
    </cfRule>
    <cfRule type="cellIs" dxfId="707" priority="838" operator="equal">
      <formula>"외주수리중"</formula>
    </cfRule>
    <cfRule type="cellIs" dxfId="706" priority="839" operator="equal">
      <formula>"수리중"</formula>
    </cfRule>
    <cfRule type="cellIs" dxfId="705" priority="840" operator="equal">
      <formula>"수리불가"</formula>
    </cfRule>
  </conditionalFormatting>
  <conditionalFormatting sqref="I1453">
    <cfRule type="cellIs" dxfId="704" priority="826" operator="equal">
      <formula>"폐기"</formula>
    </cfRule>
    <cfRule type="cellIs" dxfId="703" priority="827" operator="equal">
      <formula>"외주수리불가"</formula>
    </cfRule>
    <cfRule type="cellIs" dxfId="702" priority="828" operator="equal">
      <formula>"외주수리중"</formula>
    </cfRule>
    <cfRule type="cellIs" dxfId="701" priority="829" operator="equal">
      <formula>"수리중"</formula>
    </cfRule>
    <cfRule type="cellIs" dxfId="700" priority="830" operator="equal">
      <formula>"수리불가"</formula>
    </cfRule>
  </conditionalFormatting>
  <conditionalFormatting sqref="I1458">
    <cfRule type="cellIs" dxfId="699" priority="821" operator="equal">
      <formula>"폐기"</formula>
    </cfRule>
    <cfRule type="cellIs" dxfId="698" priority="822" operator="equal">
      <formula>"외주수리불가"</formula>
    </cfRule>
    <cfRule type="cellIs" dxfId="697" priority="823" operator="equal">
      <formula>"외주수리중"</formula>
    </cfRule>
    <cfRule type="cellIs" dxfId="696" priority="824" operator="equal">
      <formula>"수리중"</formula>
    </cfRule>
    <cfRule type="cellIs" dxfId="695" priority="825" operator="equal">
      <formula>"수리불가"</formula>
    </cfRule>
  </conditionalFormatting>
  <conditionalFormatting sqref="I1466">
    <cfRule type="cellIs" dxfId="694" priority="811" operator="equal">
      <formula>"폐기"</formula>
    </cfRule>
    <cfRule type="cellIs" dxfId="693" priority="812" operator="equal">
      <formula>"외주수리불가"</formula>
    </cfRule>
    <cfRule type="cellIs" dxfId="692" priority="813" operator="equal">
      <formula>"외주수리중"</formula>
    </cfRule>
    <cfRule type="cellIs" dxfId="691" priority="814" operator="equal">
      <formula>"수리중"</formula>
    </cfRule>
    <cfRule type="cellIs" dxfId="690" priority="815" operator="equal">
      <formula>"수리불가"</formula>
    </cfRule>
  </conditionalFormatting>
  <conditionalFormatting sqref="I1481">
    <cfRule type="cellIs" dxfId="689" priority="806" operator="equal">
      <formula>"폐기"</formula>
    </cfRule>
    <cfRule type="cellIs" dxfId="688" priority="807" operator="equal">
      <formula>"외주수리불가"</formula>
    </cfRule>
    <cfRule type="cellIs" dxfId="687" priority="808" operator="equal">
      <formula>"외주수리중"</formula>
    </cfRule>
    <cfRule type="cellIs" dxfId="686" priority="809" operator="equal">
      <formula>"수리중"</formula>
    </cfRule>
    <cfRule type="cellIs" dxfId="685" priority="810" operator="equal">
      <formula>"수리불가"</formula>
    </cfRule>
  </conditionalFormatting>
  <conditionalFormatting sqref="I1484:I1485">
    <cfRule type="cellIs" dxfId="684" priority="801" operator="equal">
      <formula>"폐기"</formula>
    </cfRule>
    <cfRule type="cellIs" dxfId="683" priority="802" operator="equal">
      <formula>"외주수리불가"</formula>
    </cfRule>
    <cfRule type="cellIs" dxfId="682" priority="803" operator="equal">
      <formula>"외주수리중"</formula>
    </cfRule>
    <cfRule type="cellIs" dxfId="681" priority="804" operator="equal">
      <formula>"수리중"</formula>
    </cfRule>
    <cfRule type="cellIs" dxfId="680" priority="805" operator="equal">
      <formula>"수리불가"</formula>
    </cfRule>
  </conditionalFormatting>
  <conditionalFormatting sqref="I1487">
    <cfRule type="cellIs" dxfId="679" priority="796" operator="equal">
      <formula>"폐기"</formula>
    </cfRule>
    <cfRule type="cellIs" dxfId="678" priority="797" operator="equal">
      <formula>"외주수리불가"</formula>
    </cfRule>
    <cfRule type="cellIs" dxfId="677" priority="798" operator="equal">
      <formula>"외주수리중"</formula>
    </cfRule>
    <cfRule type="cellIs" dxfId="676" priority="799" operator="equal">
      <formula>"수리중"</formula>
    </cfRule>
    <cfRule type="cellIs" dxfId="675" priority="800" operator="equal">
      <formula>"수리불가"</formula>
    </cfRule>
  </conditionalFormatting>
  <conditionalFormatting sqref="I1489">
    <cfRule type="cellIs" dxfId="674" priority="791" operator="equal">
      <formula>"폐기"</formula>
    </cfRule>
    <cfRule type="cellIs" dxfId="673" priority="792" operator="equal">
      <formula>"외주수리불가"</formula>
    </cfRule>
    <cfRule type="cellIs" dxfId="672" priority="793" operator="equal">
      <formula>"외주수리중"</formula>
    </cfRule>
    <cfRule type="cellIs" dxfId="671" priority="794" operator="equal">
      <formula>"수리중"</formula>
    </cfRule>
    <cfRule type="cellIs" dxfId="670" priority="795" operator="equal">
      <formula>"수리불가"</formula>
    </cfRule>
  </conditionalFormatting>
  <conditionalFormatting sqref="I1499">
    <cfRule type="cellIs" dxfId="669" priority="781" operator="equal">
      <formula>"폐기"</formula>
    </cfRule>
    <cfRule type="cellIs" dxfId="668" priority="782" operator="equal">
      <formula>"외주수리불가"</formula>
    </cfRule>
    <cfRule type="cellIs" dxfId="667" priority="783" operator="equal">
      <formula>"외주수리중"</formula>
    </cfRule>
    <cfRule type="cellIs" dxfId="666" priority="784" operator="equal">
      <formula>"수리중"</formula>
    </cfRule>
    <cfRule type="cellIs" dxfId="665" priority="785" operator="equal">
      <formula>"수리불가"</formula>
    </cfRule>
  </conditionalFormatting>
  <conditionalFormatting sqref="I1498">
    <cfRule type="cellIs" dxfId="664" priority="776" operator="equal">
      <formula>"폐기"</formula>
    </cfRule>
    <cfRule type="cellIs" dxfId="663" priority="777" operator="equal">
      <formula>"외주수리불가"</formula>
    </cfRule>
    <cfRule type="cellIs" dxfId="662" priority="778" operator="equal">
      <formula>"외주수리중"</formula>
    </cfRule>
    <cfRule type="cellIs" dxfId="661" priority="779" operator="equal">
      <formula>"수리중"</formula>
    </cfRule>
    <cfRule type="cellIs" dxfId="660" priority="780" operator="equal">
      <formula>"수리불가"</formula>
    </cfRule>
  </conditionalFormatting>
  <conditionalFormatting sqref="I1512">
    <cfRule type="cellIs" dxfId="659" priority="771" operator="equal">
      <formula>"폐기"</formula>
    </cfRule>
    <cfRule type="cellIs" dxfId="658" priority="772" operator="equal">
      <formula>"외주수리불가"</formula>
    </cfRule>
    <cfRule type="cellIs" dxfId="657" priority="773" operator="equal">
      <formula>"외주수리중"</formula>
    </cfRule>
    <cfRule type="cellIs" dxfId="656" priority="774" operator="equal">
      <formula>"수리중"</formula>
    </cfRule>
    <cfRule type="cellIs" dxfId="655" priority="775" operator="equal">
      <formula>"수리불가"</formula>
    </cfRule>
  </conditionalFormatting>
  <conditionalFormatting sqref="I1513">
    <cfRule type="cellIs" dxfId="654" priority="766" operator="equal">
      <formula>"폐기"</formula>
    </cfRule>
    <cfRule type="cellIs" dxfId="653" priority="767" operator="equal">
      <formula>"외주수리불가"</formula>
    </cfRule>
    <cfRule type="cellIs" dxfId="652" priority="768" operator="equal">
      <formula>"외주수리중"</formula>
    </cfRule>
    <cfRule type="cellIs" dxfId="651" priority="769" operator="equal">
      <formula>"수리중"</formula>
    </cfRule>
    <cfRule type="cellIs" dxfId="650" priority="770" operator="equal">
      <formula>"수리불가"</formula>
    </cfRule>
  </conditionalFormatting>
  <conditionalFormatting sqref="I1515:I1516">
    <cfRule type="cellIs" dxfId="649" priority="761" operator="equal">
      <formula>"폐기"</formula>
    </cfRule>
    <cfRule type="cellIs" dxfId="648" priority="762" operator="equal">
      <formula>"외주수리불가"</formula>
    </cfRule>
    <cfRule type="cellIs" dxfId="647" priority="763" operator="equal">
      <formula>"외주수리중"</formula>
    </cfRule>
    <cfRule type="cellIs" dxfId="646" priority="764" operator="equal">
      <formula>"수리중"</formula>
    </cfRule>
    <cfRule type="cellIs" dxfId="645" priority="765" operator="equal">
      <formula>"수리불가"</formula>
    </cfRule>
  </conditionalFormatting>
  <conditionalFormatting sqref="I1521">
    <cfRule type="cellIs" dxfId="644" priority="756" operator="equal">
      <formula>"폐기"</formula>
    </cfRule>
    <cfRule type="cellIs" dxfId="643" priority="757" operator="equal">
      <formula>"외주수리불가"</formula>
    </cfRule>
    <cfRule type="cellIs" dxfId="642" priority="758" operator="equal">
      <formula>"외주수리중"</formula>
    </cfRule>
    <cfRule type="cellIs" dxfId="641" priority="759" operator="equal">
      <formula>"수리중"</formula>
    </cfRule>
    <cfRule type="cellIs" dxfId="640" priority="760" operator="equal">
      <formula>"수리불가"</formula>
    </cfRule>
  </conditionalFormatting>
  <conditionalFormatting sqref="I1522">
    <cfRule type="cellIs" dxfId="639" priority="751" operator="equal">
      <formula>"폐기"</formula>
    </cfRule>
    <cfRule type="cellIs" dxfId="638" priority="752" operator="equal">
      <formula>"외주수리불가"</formula>
    </cfRule>
    <cfRule type="cellIs" dxfId="637" priority="753" operator="equal">
      <formula>"외주수리중"</formula>
    </cfRule>
    <cfRule type="cellIs" dxfId="636" priority="754" operator="equal">
      <formula>"수리중"</formula>
    </cfRule>
    <cfRule type="cellIs" dxfId="635" priority="755" operator="equal">
      <formula>"수리불가"</formula>
    </cfRule>
  </conditionalFormatting>
  <conditionalFormatting sqref="I1530">
    <cfRule type="cellIs" dxfId="634" priority="746" operator="equal">
      <formula>"폐기"</formula>
    </cfRule>
    <cfRule type="cellIs" dxfId="633" priority="747" operator="equal">
      <formula>"외주수리불가"</formula>
    </cfRule>
    <cfRule type="cellIs" dxfId="632" priority="748" operator="equal">
      <formula>"외주수리중"</formula>
    </cfRule>
    <cfRule type="cellIs" dxfId="631" priority="749" operator="equal">
      <formula>"수리중"</formula>
    </cfRule>
    <cfRule type="cellIs" dxfId="630" priority="750" operator="equal">
      <formula>"수리불가"</formula>
    </cfRule>
  </conditionalFormatting>
  <conditionalFormatting sqref="I1532">
    <cfRule type="cellIs" dxfId="629" priority="741" operator="equal">
      <formula>"폐기"</formula>
    </cfRule>
    <cfRule type="cellIs" dxfId="628" priority="742" operator="equal">
      <formula>"외주수리불가"</formula>
    </cfRule>
    <cfRule type="cellIs" dxfId="627" priority="743" operator="equal">
      <formula>"외주수리중"</formula>
    </cfRule>
    <cfRule type="cellIs" dxfId="626" priority="744" operator="equal">
      <formula>"수리중"</formula>
    </cfRule>
    <cfRule type="cellIs" dxfId="625" priority="745" operator="equal">
      <formula>"수리불가"</formula>
    </cfRule>
  </conditionalFormatting>
  <conditionalFormatting sqref="I1535">
    <cfRule type="cellIs" dxfId="624" priority="736" operator="equal">
      <formula>"폐기"</formula>
    </cfRule>
    <cfRule type="cellIs" dxfId="623" priority="737" operator="equal">
      <formula>"외주수리불가"</formula>
    </cfRule>
    <cfRule type="cellIs" dxfId="622" priority="738" operator="equal">
      <formula>"외주수리중"</formula>
    </cfRule>
    <cfRule type="cellIs" dxfId="621" priority="739" operator="equal">
      <formula>"수리중"</formula>
    </cfRule>
    <cfRule type="cellIs" dxfId="620" priority="740" operator="equal">
      <formula>"수리불가"</formula>
    </cfRule>
  </conditionalFormatting>
  <conditionalFormatting sqref="I1551">
    <cfRule type="cellIs" dxfId="619" priority="731" operator="equal">
      <formula>"폐기"</formula>
    </cfRule>
    <cfRule type="cellIs" dxfId="618" priority="732" operator="equal">
      <formula>"외주수리불가"</formula>
    </cfRule>
    <cfRule type="cellIs" dxfId="617" priority="733" operator="equal">
      <formula>"외주수리중"</formula>
    </cfRule>
    <cfRule type="cellIs" dxfId="616" priority="734" operator="equal">
      <formula>"수리중"</formula>
    </cfRule>
    <cfRule type="cellIs" dxfId="615" priority="735" operator="equal">
      <formula>"수리불가"</formula>
    </cfRule>
  </conditionalFormatting>
  <conditionalFormatting sqref="I1555">
    <cfRule type="cellIs" dxfId="614" priority="726" operator="equal">
      <formula>"폐기"</formula>
    </cfRule>
    <cfRule type="cellIs" dxfId="613" priority="727" operator="equal">
      <formula>"외주수리불가"</formula>
    </cfRule>
    <cfRule type="cellIs" dxfId="612" priority="728" operator="equal">
      <formula>"외주수리중"</formula>
    </cfRule>
    <cfRule type="cellIs" dxfId="611" priority="729" operator="equal">
      <formula>"수리중"</formula>
    </cfRule>
    <cfRule type="cellIs" dxfId="610" priority="730" operator="equal">
      <formula>"수리불가"</formula>
    </cfRule>
  </conditionalFormatting>
  <conditionalFormatting sqref="I1558">
    <cfRule type="cellIs" dxfId="609" priority="721" operator="equal">
      <formula>"폐기"</formula>
    </cfRule>
    <cfRule type="cellIs" dxfId="608" priority="722" operator="equal">
      <formula>"외주수리불가"</formula>
    </cfRule>
    <cfRule type="cellIs" dxfId="607" priority="723" operator="equal">
      <formula>"외주수리중"</formula>
    </cfRule>
    <cfRule type="cellIs" dxfId="606" priority="724" operator="equal">
      <formula>"수리중"</formula>
    </cfRule>
    <cfRule type="cellIs" dxfId="605" priority="725" operator="equal">
      <formula>"수리불가"</formula>
    </cfRule>
  </conditionalFormatting>
  <conditionalFormatting sqref="I1349">
    <cfRule type="cellIs" dxfId="604" priority="716" operator="equal">
      <formula>"폐기"</formula>
    </cfRule>
    <cfRule type="cellIs" dxfId="603" priority="717" operator="equal">
      <formula>"외주수리불가"</formula>
    </cfRule>
    <cfRule type="cellIs" dxfId="602" priority="718" operator="equal">
      <formula>"외주수리중"</formula>
    </cfRule>
    <cfRule type="cellIs" dxfId="601" priority="719" operator="equal">
      <formula>"수리중"</formula>
    </cfRule>
    <cfRule type="cellIs" dxfId="600" priority="720" operator="equal">
      <formula>"수리불가"</formula>
    </cfRule>
  </conditionalFormatting>
  <conditionalFormatting sqref="I1448">
    <cfRule type="cellIs" dxfId="599" priority="711" operator="equal">
      <formula>"폐기"</formula>
    </cfRule>
    <cfRule type="cellIs" dxfId="598" priority="712" operator="equal">
      <formula>"외주수리불가"</formula>
    </cfRule>
    <cfRule type="cellIs" dxfId="597" priority="713" operator="equal">
      <formula>"외주수리중"</formula>
    </cfRule>
    <cfRule type="cellIs" dxfId="596" priority="714" operator="equal">
      <formula>"수리중"</formula>
    </cfRule>
    <cfRule type="cellIs" dxfId="595" priority="715" operator="equal">
      <formula>"수리불가"</formula>
    </cfRule>
  </conditionalFormatting>
  <conditionalFormatting sqref="I1571">
    <cfRule type="cellIs" dxfId="594" priority="701" operator="equal">
      <formula>"폐기"</formula>
    </cfRule>
    <cfRule type="cellIs" dxfId="593" priority="702" operator="equal">
      <formula>"외주수리불가"</formula>
    </cfRule>
    <cfRule type="cellIs" dxfId="592" priority="703" operator="equal">
      <formula>"외주수리중"</formula>
    </cfRule>
    <cfRule type="cellIs" dxfId="591" priority="704" operator="equal">
      <formula>"수리중"</formula>
    </cfRule>
    <cfRule type="cellIs" dxfId="590" priority="705" operator="equal">
      <formula>"수리불가"</formula>
    </cfRule>
  </conditionalFormatting>
  <conditionalFormatting sqref="I1572">
    <cfRule type="cellIs" dxfId="589" priority="696" operator="equal">
      <formula>"폐기"</formula>
    </cfRule>
    <cfRule type="cellIs" dxfId="588" priority="697" operator="equal">
      <formula>"외주수리불가"</formula>
    </cfRule>
    <cfRule type="cellIs" dxfId="587" priority="698" operator="equal">
      <formula>"외주수리중"</formula>
    </cfRule>
    <cfRule type="cellIs" dxfId="586" priority="699" operator="equal">
      <formula>"수리중"</formula>
    </cfRule>
    <cfRule type="cellIs" dxfId="585" priority="700" operator="equal">
      <formula>"수리불가"</formula>
    </cfRule>
  </conditionalFormatting>
  <conditionalFormatting sqref="I1573">
    <cfRule type="cellIs" dxfId="584" priority="691" operator="equal">
      <formula>"폐기"</formula>
    </cfRule>
    <cfRule type="cellIs" dxfId="583" priority="692" operator="equal">
      <formula>"외주수리불가"</formula>
    </cfRule>
    <cfRule type="cellIs" dxfId="582" priority="693" operator="equal">
      <formula>"외주수리중"</formula>
    </cfRule>
    <cfRule type="cellIs" dxfId="581" priority="694" operator="equal">
      <formula>"수리중"</formula>
    </cfRule>
    <cfRule type="cellIs" dxfId="580" priority="695" operator="equal">
      <formula>"수리불가"</formula>
    </cfRule>
  </conditionalFormatting>
  <conditionalFormatting sqref="I1575">
    <cfRule type="cellIs" dxfId="579" priority="686" operator="equal">
      <formula>"폐기"</formula>
    </cfRule>
    <cfRule type="cellIs" dxfId="578" priority="687" operator="equal">
      <formula>"외주수리불가"</formula>
    </cfRule>
    <cfRule type="cellIs" dxfId="577" priority="688" operator="equal">
      <formula>"외주수리중"</formula>
    </cfRule>
    <cfRule type="cellIs" dxfId="576" priority="689" operator="equal">
      <formula>"수리중"</formula>
    </cfRule>
    <cfRule type="cellIs" dxfId="575" priority="690" operator="equal">
      <formula>"수리불가"</formula>
    </cfRule>
  </conditionalFormatting>
  <conditionalFormatting sqref="I1576">
    <cfRule type="cellIs" dxfId="574" priority="681" operator="equal">
      <formula>"폐기"</formula>
    </cfRule>
    <cfRule type="cellIs" dxfId="573" priority="682" operator="equal">
      <formula>"외주수리불가"</formula>
    </cfRule>
    <cfRule type="cellIs" dxfId="572" priority="683" operator="equal">
      <formula>"외주수리중"</formula>
    </cfRule>
    <cfRule type="cellIs" dxfId="571" priority="684" operator="equal">
      <formula>"수리중"</formula>
    </cfRule>
    <cfRule type="cellIs" dxfId="570" priority="685" operator="equal">
      <formula>"수리불가"</formula>
    </cfRule>
  </conditionalFormatting>
  <conditionalFormatting sqref="I1579">
    <cfRule type="cellIs" dxfId="569" priority="676" operator="equal">
      <formula>"폐기"</formula>
    </cfRule>
    <cfRule type="cellIs" dxfId="568" priority="677" operator="equal">
      <formula>"외주수리불가"</formula>
    </cfRule>
    <cfRule type="cellIs" dxfId="567" priority="678" operator="equal">
      <formula>"외주수리중"</formula>
    </cfRule>
    <cfRule type="cellIs" dxfId="566" priority="679" operator="equal">
      <formula>"수리중"</formula>
    </cfRule>
    <cfRule type="cellIs" dxfId="565" priority="680" operator="equal">
      <formula>"수리불가"</formula>
    </cfRule>
  </conditionalFormatting>
  <conditionalFormatting sqref="I1580">
    <cfRule type="cellIs" dxfId="564" priority="671" operator="equal">
      <formula>"폐기"</formula>
    </cfRule>
    <cfRule type="cellIs" dxfId="563" priority="672" operator="equal">
      <formula>"외주수리불가"</formula>
    </cfRule>
    <cfRule type="cellIs" dxfId="562" priority="673" operator="equal">
      <formula>"외주수리중"</formula>
    </cfRule>
    <cfRule type="cellIs" dxfId="561" priority="674" operator="equal">
      <formula>"수리중"</formula>
    </cfRule>
    <cfRule type="cellIs" dxfId="560" priority="675" operator="equal">
      <formula>"수리불가"</formula>
    </cfRule>
  </conditionalFormatting>
  <conditionalFormatting sqref="I1583">
    <cfRule type="cellIs" dxfId="559" priority="666" operator="equal">
      <formula>"폐기"</formula>
    </cfRule>
    <cfRule type="cellIs" dxfId="558" priority="667" operator="equal">
      <formula>"외주수리불가"</formula>
    </cfRule>
    <cfRule type="cellIs" dxfId="557" priority="668" operator="equal">
      <formula>"외주수리중"</formula>
    </cfRule>
    <cfRule type="cellIs" dxfId="556" priority="669" operator="equal">
      <formula>"수리중"</formula>
    </cfRule>
    <cfRule type="cellIs" dxfId="555" priority="670" operator="equal">
      <formula>"수리불가"</formula>
    </cfRule>
  </conditionalFormatting>
  <conditionalFormatting sqref="I1597">
    <cfRule type="cellIs" dxfId="554" priority="661" operator="equal">
      <formula>"폐기"</formula>
    </cfRule>
    <cfRule type="cellIs" dxfId="553" priority="662" operator="equal">
      <formula>"외주수리불가"</formula>
    </cfRule>
    <cfRule type="cellIs" dxfId="552" priority="663" operator="equal">
      <formula>"외주수리중"</formula>
    </cfRule>
    <cfRule type="cellIs" dxfId="551" priority="664" operator="equal">
      <formula>"수리중"</formula>
    </cfRule>
    <cfRule type="cellIs" dxfId="550" priority="665" operator="equal">
      <formula>"수리불가"</formula>
    </cfRule>
  </conditionalFormatting>
  <conditionalFormatting sqref="I1600">
    <cfRule type="cellIs" dxfId="549" priority="656" operator="equal">
      <formula>"폐기"</formula>
    </cfRule>
    <cfRule type="cellIs" dxfId="548" priority="657" operator="equal">
      <formula>"외주수리불가"</formula>
    </cfRule>
    <cfRule type="cellIs" dxfId="547" priority="658" operator="equal">
      <formula>"외주수리중"</formula>
    </cfRule>
    <cfRule type="cellIs" dxfId="546" priority="659" operator="equal">
      <formula>"수리중"</formula>
    </cfRule>
    <cfRule type="cellIs" dxfId="545" priority="660" operator="equal">
      <formula>"수리불가"</formula>
    </cfRule>
  </conditionalFormatting>
  <conditionalFormatting sqref="I1598">
    <cfRule type="cellIs" dxfId="544" priority="651" operator="equal">
      <formula>"폐기"</formula>
    </cfRule>
    <cfRule type="cellIs" dxfId="543" priority="652" operator="equal">
      <formula>"외주수리불가"</formula>
    </cfRule>
    <cfRule type="cellIs" dxfId="542" priority="653" operator="equal">
      <formula>"외주수리중"</formula>
    </cfRule>
    <cfRule type="cellIs" dxfId="541" priority="654" operator="equal">
      <formula>"수리중"</formula>
    </cfRule>
    <cfRule type="cellIs" dxfId="540" priority="655" operator="equal">
      <formula>"수리불가"</formula>
    </cfRule>
  </conditionalFormatting>
  <conditionalFormatting sqref="I1604:I1614 I1616:I1623">
    <cfRule type="cellIs" dxfId="539" priority="621" operator="equal">
      <formula>"폐기"</formula>
    </cfRule>
    <cfRule type="cellIs" dxfId="538" priority="622" operator="equal">
      <formula>"외주수리불가"</formula>
    </cfRule>
    <cfRule type="cellIs" dxfId="537" priority="623" operator="equal">
      <formula>"외주수리중"</formula>
    </cfRule>
    <cfRule type="cellIs" dxfId="536" priority="624" operator="equal">
      <formula>"수리중"</formula>
    </cfRule>
    <cfRule type="cellIs" dxfId="535" priority="625" operator="equal">
      <formula>"수리불가"</formula>
    </cfRule>
  </conditionalFormatting>
  <conditionalFormatting sqref="I1602">
    <cfRule type="cellIs" dxfId="534" priority="616" operator="equal">
      <formula>"폐기"</formula>
    </cfRule>
    <cfRule type="cellIs" dxfId="533" priority="617" operator="equal">
      <formula>"외주수리불가"</formula>
    </cfRule>
    <cfRule type="cellIs" dxfId="532" priority="618" operator="equal">
      <formula>"외주수리중"</formula>
    </cfRule>
    <cfRule type="cellIs" dxfId="531" priority="619" operator="equal">
      <formula>"수리중"</formula>
    </cfRule>
    <cfRule type="cellIs" dxfId="530" priority="620" operator="equal">
      <formula>"수리불가"</formula>
    </cfRule>
  </conditionalFormatting>
  <conditionalFormatting sqref="I1603">
    <cfRule type="cellIs" dxfId="529" priority="611" operator="equal">
      <formula>"폐기"</formula>
    </cfRule>
    <cfRule type="cellIs" dxfId="528" priority="612" operator="equal">
      <formula>"외주수리불가"</formula>
    </cfRule>
    <cfRule type="cellIs" dxfId="527" priority="613" operator="equal">
      <formula>"외주수리중"</formula>
    </cfRule>
    <cfRule type="cellIs" dxfId="526" priority="614" operator="equal">
      <formula>"수리중"</formula>
    </cfRule>
    <cfRule type="cellIs" dxfId="525" priority="615" operator="equal">
      <formula>"수리불가"</formula>
    </cfRule>
  </conditionalFormatting>
  <conditionalFormatting sqref="I1615">
    <cfRule type="cellIs" dxfId="524" priority="601" operator="equal">
      <formula>"폐기"</formula>
    </cfRule>
    <cfRule type="cellIs" dxfId="523" priority="602" operator="equal">
      <formula>"외주수리불가"</formula>
    </cfRule>
    <cfRule type="cellIs" dxfId="522" priority="603" operator="equal">
      <formula>"외주수리중"</formula>
    </cfRule>
    <cfRule type="cellIs" dxfId="521" priority="604" operator="equal">
      <formula>"수리중"</formula>
    </cfRule>
    <cfRule type="cellIs" dxfId="520" priority="605" operator="equal">
      <formula>"수리불가"</formula>
    </cfRule>
  </conditionalFormatting>
  <conditionalFormatting sqref="I1616">
    <cfRule type="cellIs" dxfId="519" priority="606" operator="equal">
      <formula>"폐기"</formula>
    </cfRule>
    <cfRule type="cellIs" dxfId="518" priority="607" operator="equal">
      <formula>"외주수리불가"</formula>
    </cfRule>
    <cfRule type="cellIs" dxfId="517" priority="608" operator="equal">
      <formula>"외주수리중"</formula>
    </cfRule>
    <cfRule type="cellIs" dxfId="516" priority="609" operator="equal">
      <formula>"수리중"</formula>
    </cfRule>
    <cfRule type="cellIs" dxfId="515" priority="610" operator="equal">
      <formula>"수리불가"</formula>
    </cfRule>
  </conditionalFormatting>
  <conditionalFormatting sqref="I1601">
    <cfRule type="cellIs" dxfId="514" priority="591" operator="equal">
      <formula>"폐기"</formula>
    </cfRule>
    <cfRule type="cellIs" dxfId="513" priority="592" operator="equal">
      <formula>"외주수리불가"</formula>
    </cfRule>
    <cfRule type="cellIs" dxfId="512" priority="593" operator="equal">
      <formula>"외주수리중"</formula>
    </cfRule>
    <cfRule type="cellIs" dxfId="511" priority="594" operator="equal">
      <formula>"수리중"</formula>
    </cfRule>
    <cfRule type="cellIs" dxfId="510" priority="595" operator="equal">
      <formula>"수리불가"</formula>
    </cfRule>
  </conditionalFormatting>
  <conditionalFormatting sqref="I1624">
    <cfRule type="cellIs" dxfId="509" priority="586" operator="equal">
      <formula>"폐기"</formula>
    </cfRule>
    <cfRule type="cellIs" dxfId="508" priority="587" operator="equal">
      <formula>"외주수리불가"</formula>
    </cfRule>
    <cfRule type="cellIs" dxfId="507" priority="588" operator="equal">
      <formula>"외주수리중"</formula>
    </cfRule>
    <cfRule type="cellIs" dxfId="506" priority="589" operator="equal">
      <formula>"수리중"</formula>
    </cfRule>
    <cfRule type="cellIs" dxfId="505" priority="590" operator="equal">
      <formula>"수리불가"</formula>
    </cfRule>
  </conditionalFormatting>
  <conditionalFormatting sqref="I1630">
    <cfRule type="cellIs" dxfId="504" priority="581" operator="equal">
      <formula>"폐기"</formula>
    </cfRule>
    <cfRule type="cellIs" dxfId="503" priority="582" operator="equal">
      <formula>"외주수리불가"</formula>
    </cfRule>
    <cfRule type="cellIs" dxfId="502" priority="583" operator="equal">
      <formula>"외주수리중"</formula>
    </cfRule>
    <cfRule type="cellIs" dxfId="501" priority="584" operator="equal">
      <formula>"수리중"</formula>
    </cfRule>
    <cfRule type="cellIs" dxfId="500" priority="585" operator="equal">
      <formula>"수리불가"</formula>
    </cfRule>
  </conditionalFormatting>
  <conditionalFormatting sqref="I1629">
    <cfRule type="cellIs" dxfId="499" priority="571" operator="equal">
      <formula>"폐기"</formula>
    </cfRule>
    <cfRule type="cellIs" dxfId="498" priority="572" operator="equal">
      <formula>"외주수리불가"</formula>
    </cfRule>
    <cfRule type="cellIs" dxfId="497" priority="573" operator="equal">
      <formula>"외주수리중"</formula>
    </cfRule>
    <cfRule type="cellIs" dxfId="496" priority="574" operator="equal">
      <formula>"수리중"</formula>
    </cfRule>
    <cfRule type="cellIs" dxfId="495" priority="575" operator="equal">
      <formula>"수리불가"</formula>
    </cfRule>
  </conditionalFormatting>
  <conditionalFormatting sqref="I1630">
    <cfRule type="cellIs" dxfId="494" priority="576" operator="equal">
      <formula>"폐기"</formula>
    </cfRule>
    <cfRule type="cellIs" dxfId="493" priority="577" operator="equal">
      <formula>"외주수리불가"</formula>
    </cfRule>
    <cfRule type="cellIs" dxfId="492" priority="578" operator="equal">
      <formula>"외주수리중"</formula>
    </cfRule>
    <cfRule type="cellIs" dxfId="491" priority="579" operator="equal">
      <formula>"수리중"</formula>
    </cfRule>
    <cfRule type="cellIs" dxfId="490" priority="580" operator="equal">
      <formula>"수리불가"</formula>
    </cfRule>
  </conditionalFormatting>
  <conditionalFormatting sqref="I1632">
    <cfRule type="cellIs" dxfId="489" priority="566" operator="equal">
      <formula>"폐기"</formula>
    </cfRule>
    <cfRule type="cellIs" dxfId="488" priority="567" operator="equal">
      <formula>"외주수리불가"</formula>
    </cfRule>
    <cfRule type="cellIs" dxfId="487" priority="568" operator="equal">
      <formula>"외주수리중"</formula>
    </cfRule>
    <cfRule type="cellIs" dxfId="486" priority="569" operator="equal">
      <formula>"수리중"</formula>
    </cfRule>
    <cfRule type="cellIs" dxfId="485" priority="570" operator="equal">
      <formula>"수리불가"</formula>
    </cfRule>
  </conditionalFormatting>
  <conditionalFormatting sqref="I1631">
    <cfRule type="cellIs" dxfId="484" priority="556" operator="equal">
      <formula>"폐기"</formula>
    </cfRule>
    <cfRule type="cellIs" dxfId="483" priority="557" operator="equal">
      <formula>"외주수리불가"</formula>
    </cfRule>
    <cfRule type="cellIs" dxfId="482" priority="558" operator="equal">
      <formula>"외주수리중"</formula>
    </cfRule>
    <cfRule type="cellIs" dxfId="481" priority="559" operator="equal">
      <formula>"수리중"</formula>
    </cfRule>
    <cfRule type="cellIs" dxfId="480" priority="560" operator="equal">
      <formula>"수리불가"</formula>
    </cfRule>
  </conditionalFormatting>
  <conditionalFormatting sqref="I1632">
    <cfRule type="cellIs" dxfId="479" priority="561" operator="equal">
      <formula>"폐기"</formula>
    </cfRule>
    <cfRule type="cellIs" dxfId="478" priority="562" operator="equal">
      <formula>"외주수리불가"</formula>
    </cfRule>
    <cfRule type="cellIs" dxfId="477" priority="563" operator="equal">
      <formula>"외주수리중"</formula>
    </cfRule>
    <cfRule type="cellIs" dxfId="476" priority="564" operator="equal">
      <formula>"수리중"</formula>
    </cfRule>
    <cfRule type="cellIs" dxfId="475" priority="565" operator="equal">
      <formula>"수리불가"</formula>
    </cfRule>
  </conditionalFormatting>
  <conditionalFormatting sqref="I1634">
    <cfRule type="cellIs" dxfId="474" priority="551" operator="equal">
      <formula>"폐기"</formula>
    </cfRule>
    <cfRule type="cellIs" dxfId="473" priority="552" operator="equal">
      <formula>"외주수리불가"</formula>
    </cfRule>
    <cfRule type="cellIs" dxfId="472" priority="553" operator="equal">
      <formula>"외주수리중"</formula>
    </cfRule>
    <cfRule type="cellIs" dxfId="471" priority="554" operator="equal">
      <formula>"수리중"</formula>
    </cfRule>
    <cfRule type="cellIs" dxfId="470" priority="555" operator="equal">
      <formula>"수리불가"</formula>
    </cfRule>
  </conditionalFormatting>
  <conditionalFormatting sqref="I1633">
    <cfRule type="cellIs" dxfId="469" priority="541" operator="equal">
      <formula>"폐기"</formula>
    </cfRule>
    <cfRule type="cellIs" dxfId="468" priority="542" operator="equal">
      <formula>"외주수리불가"</formula>
    </cfRule>
    <cfRule type="cellIs" dxfId="467" priority="543" operator="equal">
      <formula>"외주수리중"</formula>
    </cfRule>
    <cfRule type="cellIs" dxfId="466" priority="544" operator="equal">
      <formula>"수리중"</formula>
    </cfRule>
    <cfRule type="cellIs" dxfId="465" priority="545" operator="equal">
      <formula>"수리불가"</formula>
    </cfRule>
  </conditionalFormatting>
  <conditionalFormatting sqref="I1634">
    <cfRule type="cellIs" dxfId="464" priority="546" operator="equal">
      <formula>"폐기"</formula>
    </cfRule>
    <cfRule type="cellIs" dxfId="463" priority="547" operator="equal">
      <formula>"외주수리불가"</formula>
    </cfRule>
    <cfRule type="cellIs" dxfId="462" priority="548" operator="equal">
      <formula>"외주수리중"</formula>
    </cfRule>
    <cfRule type="cellIs" dxfId="461" priority="549" operator="equal">
      <formula>"수리중"</formula>
    </cfRule>
    <cfRule type="cellIs" dxfId="460" priority="550" operator="equal">
      <formula>"수리불가"</formula>
    </cfRule>
  </conditionalFormatting>
  <conditionalFormatting sqref="I1643">
    <cfRule type="cellIs" dxfId="459" priority="536" operator="equal">
      <formula>"폐기"</formula>
    </cfRule>
    <cfRule type="cellIs" dxfId="458" priority="537" operator="equal">
      <formula>"외주수리불가"</formula>
    </cfRule>
    <cfRule type="cellIs" dxfId="457" priority="538" operator="equal">
      <formula>"외주수리중"</formula>
    </cfRule>
    <cfRule type="cellIs" dxfId="456" priority="539" operator="equal">
      <formula>"수리중"</formula>
    </cfRule>
    <cfRule type="cellIs" dxfId="455" priority="540" operator="equal">
      <formula>"수리불가"</formula>
    </cfRule>
  </conditionalFormatting>
  <conditionalFormatting sqref="I1642">
    <cfRule type="cellIs" dxfId="454" priority="526" operator="equal">
      <formula>"폐기"</formula>
    </cfRule>
    <cfRule type="cellIs" dxfId="453" priority="527" operator="equal">
      <formula>"외주수리불가"</formula>
    </cfRule>
    <cfRule type="cellIs" dxfId="452" priority="528" operator="equal">
      <formula>"외주수리중"</formula>
    </cfRule>
    <cfRule type="cellIs" dxfId="451" priority="529" operator="equal">
      <formula>"수리중"</formula>
    </cfRule>
    <cfRule type="cellIs" dxfId="450" priority="530" operator="equal">
      <formula>"수리불가"</formula>
    </cfRule>
  </conditionalFormatting>
  <conditionalFormatting sqref="I1643">
    <cfRule type="cellIs" dxfId="449" priority="531" operator="equal">
      <formula>"폐기"</formula>
    </cfRule>
    <cfRule type="cellIs" dxfId="448" priority="532" operator="equal">
      <formula>"외주수리불가"</formula>
    </cfRule>
    <cfRule type="cellIs" dxfId="447" priority="533" operator="equal">
      <formula>"외주수리중"</formula>
    </cfRule>
    <cfRule type="cellIs" dxfId="446" priority="534" operator="equal">
      <formula>"수리중"</formula>
    </cfRule>
    <cfRule type="cellIs" dxfId="445" priority="535" operator="equal">
      <formula>"수리불가"</formula>
    </cfRule>
  </conditionalFormatting>
  <conditionalFormatting sqref="I1646:I1647">
    <cfRule type="cellIs" dxfId="444" priority="521" operator="equal">
      <formula>"폐기"</formula>
    </cfRule>
    <cfRule type="cellIs" dxfId="443" priority="522" operator="equal">
      <formula>"외주수리불가"</formula>
    </cfRule>
    <cfRule type="cellIs" dxfId="442" priority="523" operator="equal">
      <formula>"외주수리중"</formula>
    </cfRule>
    <cfRule type="cellIs" dxfId="441" priority="524" operator="equal">
      <formula>"수리중"</formula>
    </cfRule>
    <cfRule type="cellIs" dxfId="440" priority="525" operator="equal">
      <formula>"수리불가"</formula>
    </cfRule>
  </conditionalFormatting>
  <conditionalFormatting sqref="I1648">
    <cfRule type="cellIs" dxfId="439" priority="516" operator="equal">
      <formula>"폐기"</formula>
    </cfRule>
    <cfRule type="cellIs" dxfId="438" priority="517" operator="equal">
      <formula>"외주수리불가"</formula>
    </cfRule>
    <cfRule type="cellIs" dxfId="437" priority="518" operator="equal">
      <formula>"외주수리중"</formula>
    </cfRule>
    <cfRule type="cellIs" dxfId="436" priority="519" operator="equal">
      <formula>"수리중"</formula>
    </cfRule>
    <cfRule type="cellIs" dxfId="435" priority="520" operator="equal">
      <formula>"수리불가"</formula>
    </cfRule>
  </conditionalFormatting>
  <conditionalFormatting sqref="I1649">
    <cfRule type="cellIs" dxfId="434" priority="511" operator="equal">
      <formula>"폐기"</formula>
    </cfRule>
    <cfRule type="cellIs" dxfId="433" priority="512" operator="equal">
      <formula>"외주수리불가"</formula>
    </cfRule>
    <cfRule type="cellIs" dxfId="432" priority="513" operator="equal">
      <formula>"외주수리중"</formula>
    </cfRule>
    <cfRule type="cellIs" dxfId="431" priority="514" operator="equal">
      <formula>"수리중"</formula>
    </cfRule>
    <cfRule type="cellIs" dxfId="430" priority="515" operator="equal">
      <formula>"수리불가"</formula>
    </cfRule>
  </conditionalFormatting>
  <conditionalFormatting sqref="I1653">
    <cfRule type="cellIs" dxfId="429" priority="506" operator="equal">
      <formula>"폐기"</formula>
    </cfRule>
    <cfRule type="cellIs" dxfId="428" priority="507" operator="equal">
      <formula>"외주수리불가"</formula>
    </cfRule>
    <cfRule type="cellIs" dxfId="427" priority="508" operator="equal">
      <formula>"외주수리중"</formula>
    </cfRule>
    <cfRule type="cellIs" dxfId="426" priority="509" operator="equal">
      <formula>"수리중"</formula>
    </cfRule>
    <cfRule type="cellIs" dxfId="425" priority="510" operator="equal">
      <formula>"수리불가"</formula>
    </cfRule>
  </conditionalFormatting>
  <conditionalFormatting sqref="I1652">
    <cfRule type="cellIs" dxfId="424" priority="496" operator="equal">
      <formula>"폐기"</formula>
    </cfRule>
    <cfRule type="cellIs" dxfId="423" priority="497" operator="equal">
      <formula>"외주수리불가"</formula>
    </cfRule>
    <cfRule type="cellIs" dxfId="422" priority="498" operator="equal">
      <formula>"외주수리중"</formula>
    </cfRule>
    <cfRule type="cellIs" dxfId="421" priority="499" operator="equal">
      <formula>"수리중"</formula>
    </cfRule>
    <cfRule type="cellIs" dxfId="420" priority="500" operator="equal">
      <formula>"수리불가"</formula>
    </cfRule>
  </conditionalFormatting>
  <conditionalFormatting sqref="I1653">
    <cfRule type="cellIs" dxfId="419" priority="501" operator="equal">
      <formula>"폐기"</formula>
    </cfRule>
    <cfRule type="cellIs" dxfId="418" priority="502" operator="equal">
      <formula>"외주수리불가"</formula>
    </cfRule>
    <cfRule type="cellIs" dxfId="417" priority="503" operator="equal">
      <formula>"외주수리중"</formula>
    </cfRule>
    <cfRule type="cellIs" dxfId="416" priority="504" operator="equal">
      <formula>"수리중"</formula>
    </cfRule>
    <cfRule type="cellIs" dxfId="415" priority="505" operator="equal">
      <formula>"수리불가"</formula>
    </cfRule>
  </conditionalFormatting>
  <conditionalFormatting sqref="I1654:I1655">
    <cfRule type="cellIs" dxfId="414" priority="491" operator="equal">
      <formula>"폐기"</formula>
    </cfRule>
    <cfRule type="cellIs" dxfId="413" priority="492" operator="equal">
      <formula>"외주수리불가"</formula>
    </cfRule>
    <cfRule type="cellIs" dxfId="412" priority="493" operator="equal">
      <formula>"외주수리중"</formula>
    </cfRule>
    <cfRule type="cellIs" dxfId="411" priority="494" operator="equal">
      <formula>"수리중"</formula>
    </cfRule>
    <cfRule type="cellIs" dxfId="410" priority="495" operator="equal">
      <formula>"수리불가"</formula>
    </cfRule>
  </conditionalFormatting>
  <conditionalFormatting sqref="I1656">
    <cfRule type="cellIs" dxfId="409" priority="486" operator="equal">
      <formula>"폐기"</formula>
    </cfRule>
    <cfRule type="cellIs" dxfId="408" priority="487" operator="equal">
      <formula>"외주수리불가"</formula>
    </cfRule>
    <cfRule type="cellIs" dxfId="407" priority="488" operator="equal">
      <formula>"외주수리중"</formula>
    </cfRule>
    <cfRule type="cellIs" dxfId="406" priority="489" operator="equal">
      <formula>"수리중"</formula>
    </cfRule>
    <cfRule type="cellIs" dxfId="405" priority="490" operator="equal">
      <formula>"수리불가"</formula>
    </cfRule>
  </conditionalFormatting>
  <conditionalFormatting sqref="I1663:I1664">
    <cfRule type="cellIs" dxfId="404" priority="476" operator="equal">
      <formula>"폐기"</formula>
    </cfRule>
    <cfRule type="cellIs" dxfId="403" priority="477" operator="equal">
      <formula>"외주수리불가"</formula>
    </cfRule>
    <cfRule type="cellIs" dxfId="402" priority="478" operator="equal">
      <formula>"외주수리중"</formula>
    </cfRule>
    <cfRule type="cellIs" dxfId="401" priority="479" operator="equal">
      <formula>"수리중"</formula>
    </cfRule>
    <cfRule type="cellIs" dxfId="400" priority="480" operator="equal">
      <formula>"수리불가"</formula>
    </cfRule>
  </conditionalFormatting>
  <conditionalFormatting sqref="I1662">
    <cfRule type="cellIs" dxfId="399" priority="466" operator="equal">
      <formula>"폐기"</formula>
    </cfRule>
    <cfRule type="cellIs" dxfId="398" priority="467" operator="equal">
      <formula>"외주수리불가"</formula>
    </cfRule>
    <cfRule type="cellIs" dxfId="397" priority="468" operator="equal">
      <formula>"외주수리중"</formula>
    </cfRule>
    <cfRule type="cellIs" dxfId="396" priority="469" operator="equal">
      <formula>"수리중"</formula>
    </cfRule>
    <cfRule type="cellIs" dxfId="395" priority="470" operator="equal">
      <formula>"수리불가"</formula>
    </cfRule>
  </conditionalFormatting>
  <conditionalFormatting sqref="I1663:I1664">
    <cfRule type="cellIs" dxfId="394" priority="471" operator="equal">
      <formula>"폐기"</formula>
    </cfRule>
    <cfRule type="cellIs" dxfId="393" priority="472" operator="equal">
      <formula>"외주수리불가"</formula>
    </cfRule>
    <cfRule type="cellIs" dxfId="392" priority="473" operator="equal">
      <formula>"외주수리중"</formula>
    </cfRule>
    <cfRule type="cellIs" dxfId="391" priority="474" operator="equal">
      <formula>"수리중"</formula>
    </cfRule>
    <cfRule type="cellIs" dxfId="390" priority="475" operator="equal">
      <formula>"수리불가"</formula>
    </cfRule>
  </conditionalFormatting>
  <conditionalFormatting sqref="I1661">
    <cfRule type="cellIs" dxfId="389" priority="461" operator="equal">
      <formula>"폐기"</formula>
    </cfRule>
    <cfRule type="cellIs" dxfId="388" priority="462" operator="equal">
      <formula>"외주수리불가"</formula>
    </cfRule>
    <cfRule type="cellIs" dxfId="387" priority="463" operator="equal">
      <formula>"외주수리중"</formula>
    </cfRule>
    <cfRule type="cellIs" dxfId="386" priority="464" operator="equal">
      <formula>"수리중"</formula>
    </cfRule>
    <cfRule type="cellIs" dxfId="385" priority="465" operator="equal">
      <formula>"수리불가"</formula>
    </cfRule>
  </conditionalFormatting>
  <conditionalFormatting sqref="I1661">
    <cfRule type="cellIs" dxfId="384" priority="456" operator="equal">
      <formula>"폐기"</formula>
    </cfRule>
    <cfRule type="cellIs" dxfId="383" priority="457" operator="equal">
      <formula>"외주수리불가"</formula>
    </cfRule>
    <cfRule type="cellIs" dxfId="382" priority="458" operator="equal">
      <formula>"외주수리중"</formula>
    </cfRule>
    <cfRule type="cellIs" dxfId="381" priority="459" operator="equal">
      <formula>"수리중"</formula>
    </cfRule>
    <cfRule type="cellIs" dxfId="380" priority="460" operator="equal">
      <formula>"수리불가"</formula>
    </cfRule>
  </conditionalFormatting>
  <conditionalFormatting sqref="I1670:I1671">
    <cfRule type="cellIs" dxfId="379" priority="451" operator="equal">
      <formula>"폐기"</formula>
    </cfRule>
    <cfRule type="cellIs" dxfId="378" priority="452" operator="equal">
      <formula>"외주수리불가"</formula>
    </cfRule>
    <cfRule type="cellIs" dxfId="377" priority="453" operator="equal">
      <formula>"외주수리중"</formula>
    </cfRule>
    <cfRule type="cellIs" dxfId="376" priority="454" operator="equal">
      <formula>"수리중"</formula>
    </cfRule>
    <cfRule type="cellIs" dxfId="375" priority="455" operator="equal">
      <formula>"수리불가"</formula>
    </cfRule>
  </conditionalFormatting>
  <conditionalFormatting sqref="I1673">
    <cfRule type="cellIs" dxfId="374" priority="446" operator="equal">
      <formula>"폐기"</formula>
    </cfRule>
    <cfRule type="cellIs" dxfId="373" priority="447" operator="equal">
      <formula>"외주수리불가"</formula>
    </cfRule>
    <cfRule type="cellIs" dxfId="372" priority="448" operator="equal">
      <formula>"외주수리중"</formula>
    </cfRule>
    <cfRule type="cellIs" dxfId="371" priority="449" operator="equal">
      <formula>"수리중"</formula>
    </cfRule>
    <cfRule type="cellIs" dxfId="370" priority="450" operator="equal">
      <formula>"수리불가"</formula>
    </cfRule>
  </conditionalFormatting>
  <conditionalFormatting sqref="I1676">
    <cfRule type="cellIs" dxfId="369" priority="431" operator="equal">
      <formula>"폐기"</formula>
    </cfRule>
    <cfRule type="cellIs" dxfId="368" priority="432" operator="equal">
      <formula>"외주수리불가"</formula>
    </cfRule>
    <cfRule type="cellIs" dxfId="367" priority="433" operator="equal">
      <formula>"외주수리중"</formula>
    </cfRule>
    <cfRule type="cellIs" dxfId="366" priority="434" operator="equal">
      <formula>"수리중"</formula>
    </cfRule>
    <cfRule type="cellIs" dxfId="365" priority="435" operator="equal">
      <formula>"수리불가"</formula>
    </cfRule>
  </conditionalFormatting>
  <conditionalFormatting sqref="I1677">
    <cfRule type="cellIs" dxfId="364" priority="426" operator="equal">
      <formula>"폐기"</formula>
    </cfRule>
    <cfRule type="cellIs" dxfId="363" priority="427" operator="equal">
      <formula>"외주수리불가"</formula>
    </cfRule>
    <cfRule type="cellIs" dxfId="362" priority="428" operator="equal">
      <formula>"외주수리중"</formula>
    </cfRule>
    <cfRule type="cellIs" dxfId="361" priority="429" operator="equal">
      <formula>"수리중"</formula>
    </cfRule>
    <cfRule type="cellIs" dxfId="360" priority="430" operator="equal">
      <formula>"수리불가"</formula>
    </cfRule>
  </conditionalFormatting>
  <conditionalFormatting sqref="I1681:I1682">
    <cfRule type="cellIs" dxfId="359" priority="421" operator="equal">
      <formula>"폐기"</formula>
    </cfRule>
    <cfRule type="cellIs" dxfId="358" priority="422" operator="equal">
      <formula>"외주수리불가"</formula>
    </cfRule>
    <cfRule type="cellIs" dxfId="357" priority="423" operator="equal">
      <formula>"외주수리중"</formula>
    </cfRule>
    <cfRule type="cellIs" dxfId="356" priority="424" operator="equal">
      <formula>"수리중"</formula>
    </cfRule>
    <cfRule type="cellIs" dxfId="355" priority="425" operator="equal">
      <formula>"수리불가"</formula>
    </cfRule>
  </conditionalFormatting>
  <conditionalFormatting sqref="I1680">
    <cfRule type="cellIs" dxfId="354" priority="411" operator="equal">
      <formula>"폐기"</formula>
    </cfRule>
    <cfRule type="cellIs" dxfId="353" priority="412" operator="equal">
      <formula>"외주수리불가"</formula>
    </cfRule>
    <cfRule type="cellIs" dxfId="352" priority="413" operator="equal">
      <formula>"외주수리중"</formula>
    </cfRule>
    <cfRule type="cellIs" dxfId="351" priority="414" operator="equal">
      <formula>"수리중"</formula>
    </cfRule>
    <cfRule type="cellIs" dxfId="350" priority="415" operator="equal">
      <formula>"수리불가"</formula>
    </cfRule>
  </conditionalFormatting>
  <conditionalFormatting sqref="I1681:I1682">
    <cfRule type="cellIs" dxfId="349" priority="416" operator="equal">
      <formula>"폐기"</formula>
    </cfRule>
    <cfRule type="cellIs" dxfId="348" priority="417" operator="equal">
      <formula>"외주수리불가"</formula>
    </cfRule>
    <cfRule type="cellIs" dxfId="347" priority="418" operator="equal">
      <formula>"외주수리중"</formula>
    </cfRule>
    <cfRule type="cellIs" dxfId="346" priority="419" operator="equal">
      <formula>"수리중"</formula>
    </cfRule>
    <cfRule type="cellIs" dxfId="345" priority="420" operator="equal">
      <formula>"수리불가"</formula>
    </cfRule>
  </conditionalFormatting>
  <conditionalFormatting sqref="I1684">
    <cfRule type="cellIs" dxfId="344" priority="406" operator="equal">
      <formula>"폐기"</formula>
    </cfRule>
    <cfRule type="cellIs" dxfId="343" priority="407" operator="equal">
      <formula>"외주수리불가"</formula>
    </cfRule>
    <cfRule type="cellIs" dxfId="342" priority="408" operator="equal">
      <formula>"외주수리중"</formula>
    </cfRule>
    <cfRule type="cellIs" dxfId="341" priority="409" operator="equal">
      <formula>"수리중"</formula>
    </cfRule>
    <cfRule type="cellIs" dxfId="340" priority="410" operator="equal">
      <formula>"수리불가"</formula>
    </cfRule>
  </conditionalFormatting>
  <conditionalFormatting sqref="I1688">
    <cfRule type="cellIs" dxfId="339" priority="401" operator="equal">
      <formula>"폐기"</formula>
    </cfRule>
    <cfRule type="cellIs" dxfId="338" priority="402" operator="equal">
      <formula>"외주수리불가"</formula>
    </cfRule>
    <cfRule type="cellIs" dxfId="337" priority="403" operator="equal">
      <formula>"외주수리중"</formula>
    </cfRule>
    <cfRule type="cellIs" dxfId="336" priority="404" operator="equal">
      <formula>"수리중"</formula>
    </cfRule>
    <cfRule type="cellIs" dxfId="335" priority="405" operator="equal">
      <formula>"수리불가"</formula>
    </cfRule>
  </conditionalFormatting>
  <conditionalFormatting sqref="I1687">
    <cfRule type="cellIs" dxfId="334" priority="391" operator="equal">
      <formula>"폐기"</formula>
    </cfRule>
    <cfRule type="cellIs" dxfId="333" priority="392" operator="equal">
      <formula>"외주수리불가"</formula>
    </cfRule>
    <cfRule type="cellIs" dxfId="332" priority="393" operator="equal">
      <formula>"외주수리중"</formula>
    </cfRule>
    <cfRule type="cellIs" dxfId="331" priority="394" operator="equal">
      <formula>"수리중"</formula>
    </cfRule>
    <cfRule type="cellIs" dxfId="330" priority="395" operator="equal">
      <formula>"수리불가"</formula>
    </cfRule>
  </conditionalFormatting>
  <conditionalFormatting sqref="I1688">
    <cfRule type="cellIs" dxfId="329" priority="396" operator="equal">
      <formula>"폐기"</formula>
    </cfRule>
    <cfRule type="cellIs" dxfId="328" priority="397" operator="equal">
      <formula>"외주수리불가"</formula>
    </cfRule>
    <cfRule type="cellIs" dxfId="327" priority="398" operator="equal">
      <formula>"외주수리중"</formula>
    </cfRule>
    <cfRule type="cellIs" dxfId="326" priority="399" operator="equal">
      <formula>"수리중"</formula>
    </cfRule>
    <cfRule type="cellIs" dxfId="325" priority="400" operator="equal">
      <formula>"수리불가"</formula>
    </cfRule>
  </conditionalFormatting>
  <conditionalFormatting sqref="I1691">
    <cfRule type="cellIs" dxfId="324" priority="386" operator="equal">
      <formula>"폐기"</formula>
    </cfRule>
    <cfRule type="cellIs" dxfId="323" priority="387" operator="equal">
      <formula>"외주수리불가"</formula>
    </cfRule>
    <cfRule type="cellIs" dxfId="322" priority="388" operator="equal">
      <formula>"외주수리중"</formula>
    </cfRule>
    <cfRule type="cellIs" dxfId="321" priority="389" operator="equal">
      <formula>"수리중"</formula>
    </cfRule>
    <cfRule type="cellIs" dxfId="320" priority="390" operator="equal">
      <formula>"수리불가"</formula>
    </cfRule>
  </conditionalFormatting>
  <conditionalFormatting sqref="I1695">
    <cfRule type="cellIs" dxfId="319" priority="381" operator="equal">
      <formula>"폐기"</formula>
    </cfRule>
    <cfRule type="cellIs" dxfId="318" priority="382" operator="equal">
      <formula>"외주수리불가"</formula>
    </cfRule>
    <cfRule type="cellIs" dxfId="317" priority="383" operator="equal">
      <formula>"외주수리중"</formula>
    </cfRule>
    <cfRule type="cellIs" dxfId="316" priority="384" operator="equal">
      <formula>"수리중"</formula>
    </cfRule>
    <cfRule type="cellIs" dxfId="315" priority="385" operator="equal">
      <formula>"수리불가"</formula>
    </cfRule>
  </conditionalFormatting>
  <conditionalFormatting sqref="I1703">
    <cfRule type="cellIs" dxfId="314" priority="376" operator="equal">
      <formula>"폐기"</formula>
    </cfRule>
    <cfRule type="cellIs" dxfId="313" priority="377" operator="equal">
      <formula>"외주수리불가"</formula>
    </cfRule>
    <cfRule type="cellIs" dxfId="312" priority="378" operator="equal">
      <formula>"외주수리중"</formula>
    </cfRule>
    <cfRule type="cellIs" dxfId="311" priority="379" operator="equal">
      <formula>"수리중"</formula>
    </cfRule>
    <cfRule type="cellIs" dxfId="310" priority="380" operator="equal">
      <formula>"수리불가"</formula>
    </cfRule>
  </conditionalFormatting>
  <conditionalFormatting sqref="I1705">
    <cfRule type="cellIs" dxfId="309" priority="356" operator="equal">
      <formula>"폐기"</formula>
    </cfRule>
    <cfRule type="cellIs" dxfId="308" priority="357" operator="equal">
      <formula>"외주수리불가"</formula>
    </cfRule>
    <cfRule type="cellIs" dxfId="307" priority="358" operator="equal">
      <formula>"외주수리중"</formula>
    </cfRule>
    <cfRule type="cellIs" dxfId="306" priority="359" operator="equal">
      <formula>"수리중"</formula>
    </cfRule>
    <cfRule type="cellIs" dxfId="305" priority="360" operator="equal">
      <formula>"수리불가"</formula>
    </cfRule>
  </conditionalFormatting>
  <conditionalFormatting sqref="I1704">
    <cfRule type="cellIs" dxfId="304" priority="346" operator="equal">
      <formula>"폐기"</formula>
    </cfRule>
    <cfRule type="cellIs" dxfId="303" priority="347" operator="equal">
      <formula>"외주수리불가"</formula>
    </cfRule>
    <cfRule type="cellIs" dxfId="302" priority="348" operator="equal">
      <formula>"외주수리중"</formula>
    </cfRule>
    <cfRule type="cellIs" dxfId="301" priority="349" operator="equal">
      <formula>"수리중"</formula>
    </cfRule>
    <cfRule type="cellIs" dxfId="300" priority="350" operator="equal">
      <formula>"수리불가"</formula>
    </cfRule>
  </conditionalFormatting>
  <conditionalFormatting sqref="I1705">
    <cfRule type="cellIs" dxfId="299" priority="351" operator="equal">
      <formula>"폐기"</formula>
    </cfRule>
    <cfRule type="cellIs" dxfId="298" priority="352" operator="equal">
      <formula>"외주수리불가"</formula>
    </cfRule>
    <cfRule type="cellIs" dxfId="297" priority="353" operator="equal">
      <formula>"외주수리중"</formula>
    </cfRule>
    <cfRule type="cellIs" dxfId="296" priority="354" operator="equal">
      <formula>"수리중"</formula>
    </cfRule>
    <cfRule type="cellIs" dxfId="295" priority="355" operator="equal">
      <formula>"수리불가"</formula>
    </cfRule>
  </conditionalFormatting>
  <conditionalFormatting sqref="I1706">
    <cfRule type="cellIs" dxfId="294" priority="341" operator="equal">
      <formula>"폐기"</formula>
    </cfRule>
    <cfRule type="cellIs" dxfId="293" priority="342" operator="equal">
      <formula>"외주수리불가"</formula>
    </cfRule>
    <cfRule type="cellIs" dxfId="292" priority="343" operator="equal">
      <formula>"외주수리중"</formula>
    </cfRule>
    <cfRule type="cellIs" dxfId="291" priority="344" operator="equal">
      <formula>"수리중"</formula>
    </cfRule>
    <cfRule type="cellIs" dxfId="290" priority="345" operator="equal">
      <formula>"수리불가"</formula>
    </cfRule>
  </conditionalFormatting>
  <conditionalFormatting sqref="I1706">
    <cfRule type="cellIs" dxfId="289" priority="336" operator="equal">
      <formula>"폐기"</formula>
    </cfRule>
    <cfRule type="cellIs" dxfId="288" priority="337" operator="equal">
      <formula>"외주수리불가"</formula>
    </cfRule>
    <cfRule type="cellIs" dxfId="287" priority="338" operator="equal">
      <formula>"외주수리중"</formula>
    </cfRule>
    <cfRule type="cellIs" dxfId="286" priority="339" operator="equal">
      <formula>"수리중"</formula>
    </cfRule>
    <cfRule type="cellIs" dxfId="285" priority="340" operator="equal">
      <formula>"수리불가"</formula>
    </cfRule>
  </conditionalFormatting>
  <conditionalFormatting sqref="I1713">
    <cfRule type="cellIs" dxfId="284" priority="326" operator="equal">
      <formula>"폐기"</formula>
    </cfRule>
    <cfRule type="cellIs" dxfId="283" priority="327" operator="equal">
      <formula>"외주수리불가"</formula>
    </cfRule>
    <cfRule type="cellIs" dxfId="282" priority="328" operator="equal">
      <formula>"외주수리중"</formula>
    </cfRule>
    <cfRule type="cellIs" dxfId="281" priority="329" operator="equal">
      <formula>"수리중"</formula>
    </cfRule>
    <cfRule type="cellIs" dxfId="280" priority="330" operator="equal">
      <formula>"수리불가"</formula>
    </cfRule>
  </conditionalFormatting>
  <conditionalFormatting sqref="I1712">
    <cfRule type="cellIs" dxfId="279" priority="316" operator="equal">
      <formula>"폐기"</formula>
    </cfRule>
    <cfRule type="cellIs" dxfId="278" priority="317" operator="equal">
      <formula>"외주수리불가"</formula>
    </cfRule>
    <cfRule type="cellIs" dxfId="277" priority="318" operator="equal">
      <formula>"외주수리중"</formula>
    </cfRule>
    <cfRule type="cellIs" dxfId="276" priority="319" operator="equal">
      <formula>"수리중"</formula>
    </cfRule>
    <cfRule type="cellIs" dxfId="275" priority="320" operator="equal">
      <formula>"수리불가"</formula>
    </cfRule>
  </conditionalFormatting>
  <conditionalFormatting sqref="I1713">
    <cfRule type="cellIs" dxfId="274" priority="321" operator="equal">
      <formula>"폐기"</formula>
    </cfRule>
    <cfRule type="cellIs" dxfId="273" priority="322" operator="equal">
      <formula>"외주수리불가"</formula>
    </cfRule>
    <cfRule type="cellIs" dxfId="272" priority="323" operator="equal">
      <formula>"외주수리중"</formula>
    </cfRule>
    <cfRule type="cellIs" dxfId="271" priority="324" operator="equal">
      <formula>"수리중"</formula>
    </cfRule>
    <cfRule type="cellIs" dxfId="270" priority="325" operator="equal">
      <formula>"수리불가"</formula>
    </cfRule>
  </conditionalFormatting>
  <conditionalFormatting sqref="I1707">
    <cfRule type="cellIs" dxfId="269" priority="311" operator="equal">
      <formula>"폐기"</formula>
    </cfRule>
    <cfRule type="cellIs" dxfId="268" priority="312" operator="equal">
      <formula>"외주수리불가"</formula>
    </cfRule>
    <cfRule type="cellIs" dxfId="267" priority="313" operator="equal">
      <formula>"외주수리중"</formula>
    </cfRule>
    <cfRule type="cellIs" dxfId="266" priority="314" operator="equal">
      <formula>"수리중"</formula>
    </cfRule>
    <cfRule type="cellIs" dxfId="265" priority="315" operator="equal">
      <formula>"수리불가"</formula>
    </cfRule>
  </conditionalFormatting>
  <conditionalFormatting sqref="I1708">
    <cfRule type="cellIs" dxfId="264" priority="286" operator="equal">
      <formula>"폐기"</formula>
    </cfRule>
    <cfRule type="cellIs" dxfId="263" priority="287" operator="equal">
      <formula>"외주수리불가"</formula>
    </cfRule>
    <cfRule type="cellIs" dxfId="262" priority="288" operator="equal">
      <formula>"외주수리중"</formula>
    </cfRule>
    <cfRule type="cellIs" dxfId="261" priority="289" operator="equal">
      <formula>"수리중"</formula>
    </cfRule>
    <cfRule type="cellIs" dxfId="260" priority="290" operator="equal">
      <formula>"수리불가"</formula>
    </cfRule>
  </conditionalFormatting>
  <conditionalFormatting sqref="I1709">
    <cfRule type="cellIs" dxfId="259" priority="281" operator="equal">
      <formula>"폐기"</formula>
    </cfRule>
    <cfRule type="cellIs" dxfId="258" priority="282" operator="equal">
      <formula>"외주수리불가"</formula>
    </cfRule>
    <cfRule type="cellIs" dxfId="257" priority="283" operator="equal">
      <formula>"외주수리중"</formula>
    </cfRule>
    <cfRule type="cellIs" dxfId="256" priority="284" operator="equal">
      <formula>"수리중"</formula>
    </cfRule>
    <cfRule type="cellIs" dxfId="255" priority="285" operator="equal">
      <formula>"수리불가"</formula>
    </cfRule>
  </conditionalFormatting>
  <conditionalFormatting sqref="I1710">
    <cfRule type="cellIs" dxfId="254" priority="276" operator="equal">
      <formula>"폐기"</formula>
    </cfRule>
    <cfRule type="cellIs" dxfId="253" priority="277" operator="equal">
      <formula>"외주수리불가"</formula>
    </cfRule>
    <cfRule type="cellIs" dxfId="252" priority="278" operator="equal">
      <formula>"외주수리중"</formula>
    </cfRule>
    <cfRule type="cellIs" dxfId="251" priority="279" operator="equal">
      <formula>"수리중"</formula>
    </cfRule>
    <cfRule type="cellIs" dxfId="250" priority="280" operator="equal">
      <formula>"수리불가"</formula>
    </cfRule>
  </conditionalFormatting>
  <conditionalFormatting sqref="I1711">
    <cfRule type="cellIs" dxfId="249" priority="271" operator="equal">
      <formula>"폐기"</formula>
    </cfRule>
    <cfRule type="cellIs" dxfId="248" priority="272" operator="equal">
      <formula>"외주수리불가"</formula>
    </cfRule>
    <cfRule type="cellIs" dxfId="247" priority="273" operator="equal">
      <formula>"외주수리중"</formula>
    </cfRule>
    <cfRule type="cellIs" dxfId="246" priority="274" operator="equal">
      <formula>"수리중"</formula>
    </cfRule>
    <cfRule type="cellIs" dxfId="245" priority="275" operator="equal">
      <formula>"수리불가"</formula>
    </cfRule>
  </conditionalFormatting>
  <conditionalFormatting sqref="I1724">
    <cfRule type="cellIs" dxfId="244" priority="266" operator="equal">
      <formula>"폐기"</formula>
    </cfRule>
    <cfRule type="cellIs" dxfId="243" priority="267" operator="equal">
      <formula>"외주수리불가"</formula>
    </cfRule>
    <cfRule type="cellIs" dxfId="242" priority="268" operator="equal">
      <formula>"외주수리중"</formula>
    </cfRule>
    <cfRule type="cellIs" dxfId="241" priority="269" operator="equal">
      <formula>"수리중"</formula>
    </cfRule>
    <cfRule type="cellIs" dxfId="240" priority="270" operator="equal">
      <formula>"수리불가"</formula>
    </cfRule>
  </conditionalFormatting>
  <conditionalFormatting sqref="I1723">
    <cfRule type="cellIs" dxfId="239" priority="256" operator="equal">
      <formula>"폐기"</formula>
    </cfRule>
    <cfRule type="cellIs" dxfId="238" priority="257" operator="equal">
      <formula>"외주수리불가"</formula>
    </cfRule>
    <cfRule type="cellIs" dxfId="237" priority="258" operator="equal">
      <formula>"외주수리중"</formula>
    </cfRule>
    <cfRule type="cellIs" dxfId="236" priority="259" operator="equal">
      <formula>"수리중"</formula>
    </cfRule>
    <cfRule type="cellIs" dxfId="235" priority="260" operator="equal">
      <formula>"수리불가"</formula>
    </cfRule>
  </conditionalFormatting>
  <conditionalFormatting sqref="I1724">
    <cfRule type="cellIs" dxfId="234" priority="261" operator="equal">
      <formula>"폐기"</formula>
    </cfRule>
    <cfRule type="cellIs" dxfId="233" priority="262" operator="equal">
      <formula>"외주수리불가"</formula>
    </cfRule>
    <cfRule type="cellIs" dxfId="232" priority="263" operator="equal">
      <formula>"외주수리중"</formula>
    </cfRule>
    <cfRule type="cellIs" dxfId="231" priority="264" operator="equal">
      <formula>"수리중"</formula>
    </cfRule>
    <cfRule type="cellIs" dxfId="230" priority="265" operator="equal">
      <formula>"수리불가"</formula>
    </cfRule>
  </conditionalFormatting>
  <conditionalFormatting sqref="I1725:I1726">
    <cfRule type="cellIs" dxfId="229" priority="251" operator="equal">
      <formula>"폐기"</formula>
    </cfRule>
    <cfRule type="cellIs" dxfId="228" priority="252" operator="equal">
      <formula>"외주수리불가"</formula>
    </cfRule>
    <cfRule type="cellIs" dxfId="227" priority="253" operator="equal">
      <formula>"외주수리중"</formula>
    </cfRule>
    <cfRule type="cellIs" dxfId="226" priority="254" operator="equal">
      <formula>"수리중"</formula>
    </cfRule>
    <cfRule type="cellIs" dxfId="225" priority="255" operator="equal">
      <formula>"수리불가"</formula>
    </cfRule>
  </conditionalFormatting>
  <conditionalFormatting sqref="I1727:I1728">
    <cfRule type="cellIs" dxfId="224" priority="246" operator="equal">
      <formula>"폐기"</formula>
    </cfRule>
    <cfRule type="cellIs" dxfId="223" priority="247" operator="equal">
      <formula>"외주수리불가"</formula>
    </cfRule>
    <cfRule type="cellIs" dxfId="222" priority="248" operator="equal">
      <formula>"외주수리중"</formula>
    </cfRule>
    <cfRule type="cellIs" dxfId="221" priority="249" operator="equal">
      <formula>"수리중"</formula>
    </cfRule>
    <cfRule type="cellIs" dxfId="220" priority="250" operator="equal">
      <formula>"수리불가"</formula>
    </cfRule>
  </conditionalFormatting>
  <conditionalFormatting sqref="I1730">
    <cfRule type="cellIs" dxfId="219" priority="241" operator="equal">
      <formula>"폐기"</formula>
    </cfRule>
    <cfRule type="cellIs" dxfId="218" priority="242" operator="equal">
      <formula>"외주수리불가"</formula>
    </cfRule>
    <cfRule type="cellIs" dxfId="217" priority="243" operator="equal">
      <formula>"외주수리중"</formula>
    </cfRule>
    <cfRule type="cellIs" dxfId="216" priority="244" operator="equal">
      <formula>"수리중"</formula>
    </cfRule>
    <cfRule type="cellIs" dxfId="215" priority="245" operator="equal">
      <formula>"수리불가"</formula>
    </cfRule>
  </conditionalFormatting>
  <conditionalFormatting sqref="I1735">
    <cfRule type="cellIs" dxfId="214" priority="236" operator="equal">
      <formula>"폐기"</formula>
    </cfRule>
    <cfRule type="cellIs" dxfId="213" priority="237" operator="equal">
      <formula>"외주수리불가"</formula>
    </cfRule>
    <cfRule type="cellIs" dxfId="212" priority="238" operator="equal">
      <formula>"외주수리중"</formula>
    </cfRule>
    <cfRule type="cellIs" dxfId="211" priority="239" operator="equal">
      <formula>"수리중"</formula>
    </cfRule>
    <cfRule type="cellIs" dxfId="210" priority="240" operator="equal">
      <formula>"수리불가"</formula>
    </cfRule>
  </conditionalFormatting>
  <conditionalFormatting sqref="I1734">
    <cfRule type="cellIs" dxfId="209" priority="226" operator="equal">
      <formula>"폐기"</formula>
    </cfRule>
    <cfRule type="cellIs" dxfId="208" priority="227" operator="equal">
      <formula>"외주수리불가"</formula>
    </cfRule>
    <cfRule type="cellIs" dxfId="207" priority="228" operator="equal">
      <formula>"외주수리중"</formula>
    </cfRule>
    <cfRule type="cellIs" dxfId="206" priority="229" operator="equal">
      <formula>"수리중"</formula>
    </cfRule>
    <cfRule type="cellIs" dxfId="205" priority="230" operator="equal">
      <formula>"수리불가"</formula>
    </cfRule>
  </conditionalFormatting>
  <conditionalFormatting sqref="I1735">
    <cfRule type="cellIs" dxfId="204" priority="231" operator="equal">
      <formula>"폐기"</formula>
    </cfRule>
    <cfRule type="cellIs" dxfId="203" priority="232" operator="equal">
      <formula>"외주수리불가"</formula>
    </cfRule>
    <cfRule type="cellIs" dxfId="202" priority="233" operator="equal">
      <formula>"외주수리중"</formula>
    </cfRule>
    <cfRule type="cellIs" dxfId="201" priority="234" operator="equal">
      <formula>"수리중"</formula>
    </cfRule>
    <cfRule type="cellIs" dxfId="200" priority="235" operator="equal">
      <formula>"수리불가"</formula>
    </cfRule>
  </conditionalFormatting>
  <conditionalFormatting sqref="I1742">
    <cfRule type="cellIs" dxfId="199" priority="221" operator="equal">
      <formula>"폐기"</formula>
    </cfRule>
    <cfRule type="cellIs" dxfId="198" priority="222" operator="equal">
      <formula>"외주수리불가"</formula>
    </cfRule>
    <cfRule type="cellIs" dxfId="197" priority="223" operator="equal">
      <formula>"외주수리중"</formula>
    </cfRule>
    <cfRule type="cellIs" dxfId="196" priority="224" operator="equal">
      <formula>"수리중"</formula>
    </cfRule>
    <cfRule type="cellIs" dxfId="195" priority="225" operator="equal">
      <formula>"수리불가"</formula>
    </cfRule>
  </conditionalFormatting>
  <conditionalFormatting sqref="I1748">
    <cfRule type="cellIs" dxfId="194" priority="216" operator="equal">
      <formula>"폐기"</formula>
    </cfRule>
    <cfRule type="cellIs" dxfId="193" priority="217" operator="equal">
      <formula>"외주수리불가"</formula>
    </cfRule>
    <cfRule type="cellIs" dxfId="192" priority="218" operator="equal">
      <formula>"외주수리중"</formula>
    </cfRule>
    <cfRule type="cellIs" dxfId="191" priority="219" operator="equal">
      <formula>"수리중"</formula>
    </cfRule>
    <cfRule type="cellIs" dxfId="190" priority="220" operator="equal">
      <formula>"수리불가"</formula>
    </cfRule>
  </conditionalFormatting>
  <conditionalFormatting sqref="I1747">
    <cfRule type="cellIs" dxfId="189" priority="206" operator="equal">
      <formula>"폐기"</formula>
    </cfRule>
    <cfRule type="cellIs" dxfId="188" priority="207" operator="equal">
      <formula>"외주수리불가"</formula>
    </cfRule>
    <cfRule type="cellIs" dxfId="187" priority="208" operator="equal">
      <formula>"외주수리중"</formula>
    </cfRule>
    <cfRule type="cellIs" dxfId="186" priority="209" operator="equal">
      <formula>"수리중"</formula>
    </cfRule>
    <cfRule type="cellIs" dxfId="185" priority="210" operator="equal">
      <formula>"수리불가"</formula>
    </cfRule>
  </conditionalFormatting>
  <conditionalFormatting sqref="I1748">
    <cfRule type="cellIs" dxfId="184" priority="211" operator="equal">
      <formula>"폐기"</formula>
    </cfRule>
    <cfRule type="cellIs" dxfId="183" priority="212" operator="equal">
      <formula>"외주수리불가"</formula>
    </cfRule>
    <cfRule type="cellIs" dxfId="182" priority="213" operator="equal">
      <formula>"외주수리중"</formula>
    </cfRule>
    <cfRule type="cellIs" dxfId="181" priority="214" operator="equal">
      <formula>"수리중"</formula>
    </cfRule>
    <cfRule type="cellIs" dxfId="180" priority="215" operator="equal">
      <formula>"수리불가"</formula>
    </cfRule>
  </conditionalFormatting>
  <conditionalFormatting sqref="I1745">
    <cfRule type="cellIs" dxfId="179" priority="201" operator="equal">
      <formula>"폐기"</formula>
    </cfRule>
    <cfRule type="cellIs" dxfId="178" priority="202" operator="equal">
      <formula>"외주수리불가"</formula>
    </cfRule>
    <cfRule type="cellIs" dxfId="177" priority="203" operator="equal">
      <formula>"외주수리중"</formula>
    </cfRule>
    <cfRule type="cellIs" dxfId="176" priority="204" operator="equal">
      <formula>"수리중"</formula>
    </cfRule>
    <cfRule type="cellIs" dxfId="175" priority="205" operator="equal">
      <formula>"수리불가"</formula>
    </cfRule>
  </conditionalFormatting>
  <conditionalFormatting sqref="I1751">
    <cfRule type="cellIs" dxfId="174" priority="196" operator="equal">
      <formula>"폐기"</formula>
    </cfRule>
    <cfRule type="cellIs" dxfId="173" priority="197" operator="equal">
      <formula>"외주수리불가"</formula>
    </cfRule>
    <cfRule type="cellIs" dxfId="172" priority="198" operator="equal">
      <formula>"외주수리중"</formula>
    </cfRule>
    <cfRule type="cellIs" dxfId="171" priority="199" operator="equal">
      <formula>"수리중"</formula>
    </cfRule>
    <cfRule type="cellIs" dxfId="170" priority="200" operator="equal">
      <formula>"수리불가"</formula>
    </cfRule>
  </conditionalFormatting>
  <conditionalFormatting sqref="I1750">
    <cfRule type="cellIs" dxfId="169" priority="186" operator="equal">
      <formula>"폐기"</formula>
    </cfRule>
    <cfRule type="cellIs" dxfId="168" priority="187" operator="equal">
      <formula>"외주수리불가"</formula>
    </cfRule>
    <cfRule type="cellIs" dxfId="167" priority="188" operator="equal">
      <formula>"외주수리중"</formula>
    </cfRule>
    <cfRule type="cellIs" dxfId="166" priority="189" operator="equal">
      <formula>"수리중"</formula>
    </cfRule>
    <cfRule type="cellIs" dxfId="165" priority="190" operator="equal">
      <formula>"수리불가"</formula>
    </cfRule>
  </conditionalFormatting>
  <conditionalFormatting sqref="I1751">
    <cfRule type="cellIs" dxfId="164" priority="191" operator="equal">
      <formula>"폐기"</formula>
    </cfRule>
    <cfRule type="cellIs" dxfId="163" priority="192" operator="equal">
      <formula>"외주수리불가"</formula>
    </cfRule>
    <cfRule type="cellIs" dxfId="162" priority="193" operator="equal">
      <formula>"외주수리중"</formula>
    </cfRule>
    <cfRule type="cellIs" dxfId="161" priority="194" operator="equal">
      <formula>"수리중"</formula>
    </cfRule>
    <cfRule type="cellIs" dxfId="160" priority="195" operator="equal">
      <formula>"수리불가"</formula>
    </cfRule>
  </conditionalFormatting>
  <conditionalFormatting sqref="I1756">
    <cfRule type="cellIs" dxfId="159" priority="181" operator="equal">
      <formula>"폐기"</formula>
    </cfRule>
    <cfRule type="cellIs" dxfId="158" priority="182" operator="equal">
      <formula>"외주수리불가"</formula>
    </cfRule>
    <cfRule type="cellIs" dxfId="157" priority="183" operator="equal">
      <formula>"외주수리중"</formula>
    </cfRule>
    <cfRule type="cellIs" dxfId="156" priority="184" operator="equal">
      <formula>"수리중"</formula>
    </cfRule>
    <cfRule type="cellIs" dxfId="155" priority="185" operator="equal">
      <formula>"수리불가"</formula>
    </cfRule>
  </conditionalFormatting>
  <conditionalFormatting sqref="I1674">
    <cfRule type="cellIs" dxfId="154" priority="176" operator="equal">
      <formula>"폐기"</formula>
    </cfRule>
    <cfRule type="cellIs" dxfId="153" priority="177" operator="equal">
      <formula>"외주수리불가"</formula>
    </cfRule>
    <cfRule type="cellIs" dxfId="152" priority="178" operator="equal">
      <formula>"외주수리중"</formula>
    </cfRule>
    <cfRule type="cellIs" dxfId="151" priority="179" operator="equal">
      <formula>"수리중"</formula>
    </cfRule>
    <cfRule type="cellIs" dxfId="150" priority="180" operator="equal">
      <formula>"수리불가"</formula>
    </cfRule>
  </conditionalFormatting>
  <conditionalFormatting sqref="I1675">
    <cfRule type="cellIs" dxfId="149" priority="171" operator="equal">
      <formula>"폐기"</formula>
    </cfRule>
    <cfRule type="cellIs" dxfId="148" priority="172" operator="equal">
      <formula>"외주수리불가"</formula>
    </cfRule>
    <cfRule type="cellIs" dxfId="147" priority="173" operator="equal">
      <formula>"외주수리중"</formula>
    </cfRule>
    <cfRule type="cellIs" dxfId="146" priority="174" operator="equal">
      <formula>"수리중"</formula>
    </cfRule>
    <cfRule type="cellIs" dxfId="145" priority="175" operator="equal">
      <formula>"수리불가"</formula>
    </cfRule>
  </conditionalFormatting>
  <conditionalFormatting sqref="I1761">
    <cfRule type="cellIs" dxfId="144" priority="166" operator="equal">
      <formula>"폐기"</formula>
    </cfRule>
    <cfRule type="cellIs" dxfId="143" priority="167" operator="equal">
      <formula>"외주수리불가"</formula>
    </cfRule>
    <cfRule type="cellIs" dxfId="142" priority="168" operator="equal">
      <formula>"외주수리중"</formula>
    </cfRule>
    <cfRule type="cellIs" dxfId="141" priority="169" operator="equal">
      <formula>"수리중"</formula>
    </cfRule>
    <cfRule type="cellIs" dxfId="140" priority="170" operator="equal">
      <formula>"수리불가"</formula>
    </cfRule>
  </conditionalFormatting>
  <conditionalFormatting sqref="I1760">
    <cfRule type="cellIs" dxfId="139" priority="156" operator="equal">
      <formula>"폐기"</formula>
    </cfRule>
    <cfRule type="cellIs" dxfId="138" priority="157" operator="equal">
      <formula>"외주수리불가"</formula>
    </cfRule>
    <cfRule type="cellIs" dxfId="137" priority="158" operator="equal">
      <formula>"외주수리중"</formula>
    </cfRule>
    <cfRule type="cellIs" dxfId="136" priority="159" operator="equal">
      <formula>"수리중"</formula>
    </cfRule>
    <cfRule type="cellIs" dxfId="135" priority="160" operator="equal">
      <formula>"수리불가"</formula>
    </cfRule>
  </conditionalFormatting>
  <conditionalFormatting sqref="I1761">
    <cfRule type="cellIs" dxfId="134" priority="161" operator="equal">
      <formula>"폐기"</formula>
    </cfRule>
    <cfRule type="cellIs" dxfId="133" priority="162" operator="equal">
      <formula>"외주수리불가"</formula>
    </cfRule>
    <cfRule type="cellIs" dxfId="132" priority="163" operator="equal">
      <formula>"외주수리중"</formula>
    </cfRule>
    <cfRule type="cellIs" dxfId="131" priority="164" operator="equal">
      <formula>"수리중"</formula>
    </cfRule>
    <cfRule type="cellIs" dxfId="130" priority="165" operator="equal">
      <formula>"수리불가"</formula>
    </cfRule>
  </conditionalFormatting>
  <conditionalFormatting sqref="I1767">
    <cfRule type="cellIs" dxfId="129" priority="151" operator="equal">
      <formula>"폐기"</formula>
    </cfRule>
    <cfRule type="cellIs" dxfId="128" priority="152" operator="equal">
      <formula>"외주수리불가"</formula>
    </cfRule>
    <cfRule type="cellIs" dxfId="127" priority="153" operator="equal">
      <formula>"외주수리중"</formula>
    </cfRule>
    <cfRule type="cellIs" dxfId="126" priority="154" operator="equal">
      <formula>"수리중"</formula>
    </cfRule>
    <cfRule type="cellIs" dxfId="125" priority="155" operator="equal">
      <formula>"수리불가"</formula>
    </cfRule>
  </conditionalFormatting>
  <conditionalFormatting sqref="I1771">
    <cfRule type="cellIs" dxfId="124" priority="146" operator="equal">
      <formula>"폐기"</formula>
    </cfRule>
    <cfRule type="cellIs" dxfId="123" priority="147" operator="equal">
      <formula>"외주수리불가"</formula>
    </cfRule>
    <cfRule type="cellIs" dxfId="122" priority="148" operator="equal">
      <formula>"외주수리중"</formula>
    </cfRule>
    <cfRule type="cellIs" dxfId="121" priority="149" operator="equal">
      <formula>"수리중"</formula>
    </cfRule>
    <cfRule type="cellIs" dxfId="120" priority="150" operator="equal">
      <formula>"수리불가"</formula>
    </cfRule>
  </conditionalFormatting>
  <conditionalFormatting sqref="I1770">
    <cfRule type="cellIs" dxfId="119" priority="136" operator="equal">
      <formula>"폐기"</formula>
    </cfRule>
    <cfRule type="cellIs" dxfId="118" priority="137" operator="equal">
      <formula>"외주수리불가"</formula>
    </cfRule>
    <cfRule type="cellIs" dxfId="117" priority="138" operator="equal">
      <formula>"외주수리중"</formula>
    </cfRule>
    <cfRule type="cellIs" dxfId="116" priority="139" operator="equal">
      <formula>"수리중"</formula>
    </cfRule>
    <cfRule type="cellIs" dxfId="115" priority="140" operator="equal">
      <formula>"수리불가"</formula>
    </cfRule>
  </conditionalFormatting>
  <conditionalFormatting sqref="I1771">
    <cfRule type="cellIs" dxfId="114" priority="141" operator="equal">
      <formula>"폐기"</formula>
    </cfRule>
    <cfRule type="cellIs" dxfId="113" priority="142" operator="equal">
      <formula>"외주수리불가"</formula>
    </cfRule>
    <cfRule type="cellIs" dxfId="112" priority="143" operator="equal">
      <formula>"외주수리중"</formula>
    </cfRule>
    <cfRule type="cellIs" dxfId="111" priority="144" operator="equal">
      <formula>"수리중"</formula>
    </cfRule>
    <cfRule type="cellIs" dxfId="110" priority="145" operator="equal">
      <formula>"수리불가"</formula>
    </cfRule>
  </conditionalFormatting>
  <conditionalFormatting sqref="I1773">
    <cfRule type="cellIs" dxfId="109" priority="131" operator="equal">
      <formula>"폐기"</formula>
    </cfRule>
    <cfRule type="cellIs" dxfId="108" priority="132" operator="equal">
      <formula>"외주수리불가"</formula>
    </cfRule>
    <cfRule type="cellIs" dxfId="107" priority="133" operator="equal">
      <formula>"외주수리중"</formula>
    </cfRule>
    <cfRule type="cellIs" dxfId="106" priority="134" operator="equal">
      <formula>"수리중"</formula>
    </cfRule>
    <cfRule type="cellIs" dxfId="105" priority="135" operator="equal">
      <formula>"수리불가"</formula>
    </cfRule>
  </conditionalFormatting>
  <conditionalFormatting sqref="I1772">
    <cfRule type="cellIs" dxfId="104" priority="121" operator="equal">
      <formula>"폐기"</formula>
    </cfRule>
    <cfRule type="cellIs" dxfId="103" priority="122" operator="equal">
      <formula>"외주수리불가"</formula>
    </cfRule>
    <cfRule type="cellIs" dxfId="102" priority="123" operator="equal">
      <formula>"외주수리중"</formula>
    </cfRule>
    <cfRule type="cellIs" dxfId="101" priority="124" operator="equal">
      <formula>"수리중"</formula>
    </cfRule>
    <cfRule type="cellIs" dxfId="100" priority="125" operator="equal">
      <formula>"수리불가"</formula>
    </cfRule>
  </conditionalFormatting>
  <conditionalFormatting sqref="I1773">
    <cfRule type="cellIs" dxfId="99" priority="126" operator="equal">
      <formula>"폐기"</formula>
    </cfRule>
    <cfRule type="cellIs" dxfId="98" priority="127" operator="equal">
      <formula>"외주수리불가"</formula>
    </cfRule>
    <cfRule type="cellIs" dxfId="97" priority="128" operator="equal">
      <formula>"외주수리중"</formula>
    </cfRule>
    <cfRule type="cellIs" dxfId="96" priority="129" operator="equal">
      <formula>"수리중"</formula>
    </cfRule>
    <cfRule type="cellIs" dxfId="95" priority="130" operator="equal">
      <formula>"수리불가"</formula>
    </cfRule>
  </conditionalFormatting>
  <conditionalFormatting sqref="I1782">
    <cfRule type="cellIs" dxfId="94" priority="116" operator="equal">
      <formula>"폐기"</formula>
    </cfRule>
    <cfRule type="cellIs" dxfId="93" priority="117" operator="equal">
      <formula>"외주수리불가"</formula>
    </cfRule>
    <cfRule type="cellIs" dxfId="92" priority="118" operator="equal">
      <formula>"외주수리중"</formula>
    </cfRule>
    <cfRule type="cellIs" dxfId="91" priority="119" operator="equal">
      <formula>"수리중"</formula>
    </cfRule>
    <cfRule type="cellIs" dxfId="90" priority="120" operator="equal">
      <formula>"수리불가"</formula>
    </cfRule>
  </conditionalFormatting>
  <conditionalFormatting sqref="I1781">
    <cfRule type="cellIs" dxfId="89" priority="106" operator="equal">
      <formula>"폐기"</formula>
    </cfRule>
    <cfRule type="cellIs" dxfId="88" priority="107" operator="equal">
      <formula>"외주수리불가"</formula>
    </cfRule>
    <cfRule type="cellIs" dxfId="87" priority="108" operator="equal">
      <formula>"외주수리중"</formula>
    </cfRule>
    <cfRule type="cellIs" dxfId="86" priority="109" operator="equal">
      <formula>"수리중"</formula>
    </cfRule>
    <cfRule type="cellIs" dxfId="85" priority="110" operator="equal">
      <formula>"수리불가"</formula>
    </cfRule>
  </conditionalFormatting>
  <conditionalFormatting sqref="I1782">
    <cfRule type="cellIs" dxfId="84" priority="111" operator="equal">
      <formula>"폐기"</formula>
    </cfRule>
    <cfRule type="cellIs" dxfId="83" priority="112" operator="equal">
      <formula>"외주수리불가"</formula>
    </cfRule>
    <cfRule type="cellIs" dxfId="82" priority="113" operator="equal">
      <formula>"외주수리중"</formula>
    </cfRule>
    <cfRule type="cellIs" dxfId="81" priority="114" operator="equal">
      <formula>"수리중"</formula>
    </cfRule>
    <cfRule type="cellIs" dxfId="80" priority="115" operator="equal">
      <formula>"수리불가"</formula>
    </cfRule>
  </conditionalFormatting>
  <conditionalFormatting sqref="I1786">
    <cfRule type="cellIs" dxfId="79" priority="101" operator="equal">
      <formula>"폐기"</formula>
    </cfRule>
    <cfRule type="cellIs" dxfId="78" priority="102" operator="equal">
      <formula>"외주수리불가"</formula>
    </cfRule>
    <cfRule type="cellIs" dxfId="77" priority="103" operator="equal">
      <formula>"외주수리중"</formula>
    </cfRule>
    <cfRule type="cellIs" dxfId="76" priority="104" operator="equal">
      <formula>"수리중"</formula>
    </cfRule>
    <cfRule type="cellIs" dxfId="75" priority="105" operator="equal">
      <formula>"수리불가"</formula>
    </cfRule>
  </conditionalFormatting>
  <conditionalFormatting sqref="I1785">
    <cfRule type="cellIs" dxfId="74" priority="91" operator="equal">
      <formula>"폐기"</formula>
    </cfRule>
    <cfRule type="cellIs" dxfId="73" priority="92" operator="equal">
      <formula>"외주수리불가"</formula>
    </cfRule>
    <cfRule type="cellIs" dxfId="72" priority="93" operator="equal">
      <formula>"외주수리중"</formula>
    </cfRule>
    <cfRule type="cellIs" dxfId="71" priority="94" operator="equal">
      <formula>"수리중"</formula>
    </cfRule>
    <cfRule type="cellIs" dxfId="70" priority="95" operator="equal">
      <formula>"수리불가"</formula>
    </cfRule>
  </conditionalFormatting>
  <conditionalFormatting sqref="I1786">
    <cfRule type="cellIs" dxfId="69" priority="96" operator="equal">
      <formula>"폐기"</formula>
    </cfRule>
    <cfRule type="cellIs" dxfId="68" priority="97" operator="equal">
      <formula>"외주수리불가"</formula>
    </cfRule>
    <cfRule type="cellIs" dxfId="67" priority="98" operator="equal">
      <formula>"외주수리중"</formula>
    </cfRule>
    <cfRule type="cellIs" dxfId="66" priority="99" operator="equal">
      <formula>"수리중"</formula>
    </cfRule>
    <cfRule type="cellIs" dxfId="65" priority="100" operator="equal">
      <formula>"수리불가"</formula>
    </cfRule>
  </conditionalFormatting>
  <conditionalFormatting sqref="I1790">
    <cfRule type="cellIs" dxfId="64" priority="81" operator="equal">
      <formula>"폐기"</formula>
    </cfRule>
    <cfRule type="cellIs" dxfId="63" priority="82" operator="equal">
      <formula>"외주수리불가"</formula>
    </cfRule>
    <cfRule type="cellIs" dxfId="62" priority="83" operator="equal">
      <formula>"외주수리중"</formula>
    </cfRule>
    <cfRule type="cellIs" dxfId="61" priority="84" operator="equal">
      <formula>"수리중"</formula>
    </cfRule>
    <cfRule type="cellIs" dxfId="60" priority="85" operator="equal">
      <formula>"수리불가"</formula>
    </cfRule>
  </conditionalFormatting>
  <conditionalFormatting sqref="I1791">
    <cfRule type="cellIs" dxfId="59" priority="76" operator="equal">
      <formula>"폐기"</formula>
    </cfRule>
    <cfRule type="cellIs" dxfId="58" priority="77" operator="equal">
      <formula>"외주수리불가"</formula>
    </cfRule>
    <cfRule type="cellIs" dxfId="57" priority="78" operator="equal">
      <formula>"외주수리중"</formula>
    </cfRule>
    <cfRule type="cellIs" dxfId="56" priority="79" operator="equal">
      <formula>"수리중"</formula>
    </cfRule>
    <cfRule type="cellIs" dxfId="55" priority="80" operator="equal">
      <formula>"수리불가"</formula>
    </cfRule>
  </conditionalFormatting>
  <conditionalFormatting sqref="I1792">
    <cfRule type="cellIs" dxfId="54" priority="71" operator="equal">
      <formula>"폐기"</formula>
    </cfRule>
    <cfRule type="cellIs" dxfId="53" priority="72" operator="equal">
      <formula>"외주수리불가"</formula>
    </cfRule>
    <cfRule type="cellIs" dxfId="52" priority="73" operator="equal">
      <formula>"외주수리중"</formula>
    </cfRule>
    <cfRule type="cellIs" dxfId="51" priority="74" operator="equal">
      <formula>"수리중"</formula>
    </cfRule>
    <cfRule type="cellIs" dxfId="50" priority="75" operator="equal">
      <formula>"수리불가"</formula>
    </cfRule>
  </conditionalFormatting>
  <conditionalFormatting sqref="I1793">
    <cfRule type="cellIs" dxfId="49" priority="66" operator="equal">
      <formula>"폐기"</formula>
    </cfRule>
    <cfRule type="cellIs" dxfId="48" priority="67" operator="equal">
      <formula>"외주수리불가"</formula>
    </cfRule>
    <cfRule type="cellIs" dxfId="47" priority="68" operator="equal">
      <formula>"외주수리중"</formula>
    </cfRule>
    <cfRule type="cellIs" dxfId="46" priority="69" operator="equal">
      <formula>"수리중"</formula>
    </cfRule>
    <cfRule type="cellIs" dxfId="45" priority="70" operator="equal">
      <formula>"수리불가"</formula>
    </cfRule>
  </conditionalFormatting>
  <conditionalFormatting sqref="I1794">
    <cfRule type="cellIs" dxfId="44" priority="61" operator="equal">
      <formula>"폐기"</formula>
    </cfRule>
    <cfRule type="cellIs" dxfId="43" priority="62" operator="equal">
      <formula>"외주수리불가"</formula>
    </cfRule>
    <cfRule type="cellIs" dxfId="42" priority="63" operator="equal">
      <formula>"외주수리중"</formula>
    </cfRule>
    <cfRule type="cellIs" dxfId="41" priority="64" operator="equal">
      <formula>"수리중"</formula>
    </cfRule>
    <cfRule type="cellIs" dxfId="40" priority="65" operator="equal">
      <formula>"수리불가"</formula>
    </cfRule>
  </conditionalFormatting>
  <conditionalFormatting sqref="I1796">
    <cfRule type="cellIs" dxfId="39" priority="56" operator="equal">
      <formula>"폐기"</formula>
    </cfRule>
    <cfRule type="cellIs" dxfId="38" priority="57" operator="equal">
      <formula>"외주수리불가"</formula>
    </cfRule>
    <cfRule type="cellIs" dxfId="37" priority="58" operator="equal">
      <formula>"외주수리중"</formula>
    </cfRule>
    <cfRule type="cellIs" dxfId="36" priority="59" operator="equal">
      <formula>"수리중"</formula>
    </cfRule>
    <cfRule type="cellIs" dxfId="35" priority="60" operator="equal">
      <formula>"수리불가"</formula>
    </cfRule>
  </conditionalFormatting>
  <conditionalFormatting sqref="I1795">
    <cfRule type="cellIs" dxfId="34" priority="46" operator="equal">
      <formula>"폐기"</formula>
    </cfRule>
    <cfRule type="cellIs" dxfId="33" priority="47" operator="equal">
      <formula>"외주수리불가"</formula>
    </cfRule>
    <cfRule type="cellIs" dxfId="32" priority="48" operator="equal">
      <formula>"외주수리중"</formula>
    </cfRule>
    <cfRule type="cellIs" dxfId="31" priority="49" operator="equal">
      <formula>"수리중"</formula>
    </cfRule>
    <cfRule type="cellIs" dxfId="30" priority="50" operator="equal">
      <formula>"수리불가"</formula>
    </cfRule>
  </conditionalFormatting>
  <conditionalFormatting sqref="I1796">
    <cfRule type="cellIs" dxfId="29" priority="51" operator="equal">
      <formula>"폐기"</formula>
    </cfRule>
    <cfRule type="cellIs" dxfId="28" priority="52" operator="equal">
      <formula>"외주수리불가"</formula>
    </cfRule>
    <cfRule type="cellIs" dxfId="27" priority="53" operator="equal">
      <formula>"외주수리중"</formula>
    </cfRule>
    <cfRule type="cellIs" dxfId="26" priority="54" operator="equal">
      <formula>"수리중"</formula>
    </cfRule>
    <cfRule type="cellIs" dxfId="25" priority="55" operator="equal">
      <formula>"수리불가"</formula>
    </cfRule>
  </conditionalFormatting>
  <conditionalFormatting sqref="I1743">
    <cfRule type="cellIs" dxfId="24" priority="31" operator="equal">
      <formula>"폐기"</formula>
    </cfRule>
    <cfRule type="cellIs" dxfId="23" priority="32" operator="equal">
      <formula>"외주수리불가"</formula>
    </cfRule>
    <cfRule type="cellIs" dxfId="22" priority="33" operator="equal">
      <formula>"외주수리중"</formula>
    </cfRule>
    <cfRule type="cellIs" dxfId="21" priority="34" operator="equal">
      <formula>"수리중"</formula>
    </cfRule>
    <cfRule type="cellIs" dxfId="20" priority="35" operator="equal">
      <formula>"수리불가"</formula>
    </cfRule>
  </conditionalFormatting>
  <conditionalFormatting sqref="I1803">
    <cfRule type="cellIs" dxfId="19" priority="26" operator="equal">
      <formula>"폐기"</formula>
    </cfRule>
    <cfRule type="cellIs" dxfId="18" priority="27" operator="equal">
      <formula>"외주수리불가"</formula>
    </cfRule>
    <cfRule type="cellIs" dxfId="17" priority="28" operator="equal">
      <formula>"외주수리중"</formula>
    </cfRule>
    <cfRule type="cellIs" dxfId="16" priority="29" operator="equal">
      <formula>"수리중"</formula>
    </cfRule>
    <cfRule type="cellIs" dxfId="15" priority="30" operator="equal">
      <formula>"수리불가"</formula>
    </cfRule>
  </conditionalFormatting>
  <conditionalFormatting sqref="I1804">
    <cfRule type="cellIs" dxfId="14" priority="21" operator="equal">
      <formula>"폐기"</formula>
    </cfRule>
    <cfRule type="cellIs" dxfId="13" priority="22" operator="equal">
      <formula>"외주수리불가"</formula>
    </cfRule>
    <cfRule type="cellIs" dxfId="12" priority="23" operator="equal">
      <formula>"외주수리중"</formula>
    </cfRule>
    <cfRule type="cellIs" dxfId="11" priority="24" operator="equal">
      <formula>"수리중"</formula>
    </cfRule>
    <cfRule type="cellIs" dxfId="10" priority="25" operator="equal">
      <formula>"수리불가"</formula>
    </cfRule>
  </conditionalFormatting>
  <conditionalFormatting sqref="I1809">
    <cfRule type="cellIs" dxfId="9" priority="16" operator="equal">
      <formula>"폐기"</formula>
    </cfRule>
    <cfRule type="cellIs" dxfId="8" priority="17" operator="equal">
      <formula>"외주수리불가"</formula>
    </cfRule>
    <cfRule type="cellIs" dxfId="7" priority="18" operator="equal">
      <formula>"외주수리중"</formula>
    </cfRule>
    <cfRule type="cellIs" dxfId="6" priority="19" operator="equal">
      <formula>"수리중"</formula>
    </cfRule>
    <cfRule type="cellIs" dxfId="5" priority="20" operator="equal">
      <formula>"수리불가"</formula>
    </cfRule>
  </conditionalFormatting>
  <conditionalFormatting sqref="I1810">
    <cfRule type="cellIs" dxfId="4" priority="11" operator="equal">
      <formula>"폐기"</formula>
    </cfRule>
    <cfRule type="cellIs" dxfId="3" priority="12" operator="equal">
      <formula>"외주수리불가"</formula>
    </cfRule>
    <cfRule type="cellIs" dxfId="2" priority="13" operator="equal">
      <formula>"외주수리중"</formula>
    </cfRule>
    <cfRule type="cellIs" dxfId="1" priority="14" operator="equal">
      <formula>"수리중"</formula>
    </cfRule>
    <cfRule type="cellIs" dxfId="0" priority="15" operator="equal">
      <formula>"수리불가"</formula>
    </cfRule>
  </conditionalFormatting>
  <dataValidations count="10">
    <dataValidation type="list" allowBlank="1" showInputMessage="1" showErrorMessage="1" sqref="K1 K1824:K1048576" xr:uid="{00000000-0002-0000-0000-000000000000}">
      <formula1>"1T1P,1T2P,1T3P,1T4P,2T1P,2T2P,2T3P,2T4P,3T1P,3T2P,3T3P,3T4P,3T5P,5T1P,5T2P,5T3P,6T1P,6T2P,6T3P,ATP,ATT,ATC,ATM,EE1,EE2,Other,QA,K5"</formula1>
    </dataValidation>
    <dataValidation type="list" allowBlank="1" showInputMessage="1" showErrorMessage="1" sqref="K1721 J1:J1048576" xr:uid="{00000000-0002-0000-0000-000001000000}">
      <formula1>"A,B,C,G,F,P,EE,Bump,Other,QA,K5,ATT,ATP,ATC,ATM,ICS,PM,ATJ"</formula1>
    </dataValidation>
    <dataValidation type="list" allowBlank="1" showInputMessage="1" showErrorMessage="1" sqref="X1 X1824:X1048576" xr:uid="{00000000-0002-0000-0000-000002000000}">
      <formula1>"기타,큐텍코리아,디에이테크,삼아일렉트론,오키,세림디티에스,씨맥스,인베닉스"</formula1>
    </dataValidation>
    <dataValidation type="list" allowBlank="1" showInputMessage="1" showErrorMessage="1" sqref="X1823 X1793:X1821 X2:X1791" xr:uid="{00000000-0002-0000-0000-000003000000}">
      <formula1>"기타,큐텍코리아,디에이테크,이엔아이,씨맥스,스미스테크,인베닉스"</formula1>
    </dataValidation>
    <dataValidation type="list" allowBlank="1" showInputMessage="1" showErrorMessage="1" sqref="K1722:K1823 K2:K1720" xr:uid="{00000000-0002-0000-0000-000004000000}">
      <formula1>"1T1P,1T2P,1T3P,1T4P,2T1P,2T2P,2T3P,2T4P,3T1P,3T2P,3T3P,3T4P,3T5P,5T1P,5T2P,5T3P,6T1P,6T2P,6T3P,ATP,ATT,ATC,ATM,EE1,EE2,Other,QA,K5,Bump1,PM,ATJ"</formula1>
    </dataValidation>
    <dataValidation type="list" allowBlank="1" showInputMessage="1" showErrorMessage="1" sqref="W2:W1823" xr:uid="{00000000-0002-0000-0000-000005000000}">
      <formula1>"자체,외주"</formula1>
    </dataValidation>
    <dataValidation type="list" allowBlank="1" showInputMessage="1" showErrorMessage="1" sqref="H2:H1048576" xr:uid="{00000000-0002-0000-0000-000006000000}">
      <formula1>"수리중, 완료, 수리불가, Other"</formula1>
    </dataValidation>
    <dataValidation type="list" allowBlank="1" showInputMessage="1" showErrorMessage="1" sqref="I1:I1048576" xr:uid="{00000000-0002-0000-0000-000007000000}">
      <formula1>"수리완료,수리중,폐기,외주수리중,외주수리불가,수리불가,외주수리완료,Other"</formula1>
    </dataValidation>
    <dataValidation type="list" allowBlank="1" showInputMessage="1" showErrorMessage="1" sqref="AA1:AA1048576" xr:uid="{00000000-0002-0000-0000-000008000000}">
      <formula1>"정기수,최준영,강영구,박병대,장은철,허준영,하주용"</formula1>
    </dataValidation>
    <dataValidation type="list" allowBlank="1" showInputMessage="1" showErrorMessage="1" sqref="C2:C1048576" xr:uid="{00000000-0002-0000-0000-000009000000}">
      <formula1>"ATK, ATP, ATM, ATC, ATT, ATEP, ATJ"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3">
    <tabColor theme="0"/>
  </sheetPr>
  <dimension ref="B1:Z34"/>
  <sheetViews>
    <sheetView showGridLines="0" zoomScale="85" zoomScaleNormal="85" workbookViewId="0">
      <selection activeCell="W21" sqref="W21"/>
    </sheetView>
  </sheetViews>
  <sheetFormatPr defaultRowHeight="16.5"/>
  <cols>
    <col min="1" max="1" width="3.875" style="17" customWidth="1"/>
    <col min="2" max="2" width="10.625" style="17" customWidth="1"/>
    <col min="3" max="3" width="7.125" style="17" customWidth="1"/>
    <col min="4" max="4" width="10" style="17" customWidth="1"/>
    <col min="5" max="5" width="7.125" style="17" customWidth="1"/>
    <col min="6" max="6" width="8.625" style="17" customWidth="1"/>
    <col min="7" max="7" width="7.125" style="17" customWidth="1"/>
    <col min="8" max="8" width="8.625" style="17" customWidth="1"/>
    <col min="9" max="9" width="7.125" style="17" customWidth="1"/>
    <col min="10" max="10" width="8.625" style="17" customWidth="1"/>
    <col min="11" max="11" width="7.125" style="17" customWidth="1"/>
    <col min="12" max="12" width="8.625" style="17" customWidth="1"/>
    <col min="13" max="13" width="7.125" style="17" customWidth="1"/>
    <col min="14" max="14" width="8.625" style="17" customWidth="1"/>
    <col min="15" max="15" width="7.125" style="17" customWidth="1"/>
    <col min="16" max="17" width="8.625" style="17" customWidth="1"/>
    <col min="18" max="18" width="10.375" style="17" customWidth="1"/>
    <col min="19" max="19" width="3.125" style="88" customWidth="1"/>
    <col min="20" max="20" width="14.375" style="17" customWidth="1"/>
    <col min="21" max="22" width="10.75" style="17" customWidth="1"/>
    <col min="23" max="26" width="10.25" style="17" customWidth="1"/>
    <col min="27" max="16384" width="9" style="17"/>
  </cols>
  <sheetData>
    <row r="1" spans="2:26">
      <c r="B1" s="222" t="s">
        <v>200</v>
      </c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2:26" ht="20.25"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Q2" s="109" t="s">
        <v>110</v>
      </c>
      <c r="R2" s="110" t="s">
        <v>112</v>
      </c>
      <c r="T2" s="125" t="s">
        <v>114</v>
      </c>
      <c r="U2" s="122"/>
      <c r="V2" s="122"/>
      <c r="W2" s="122"/>
      <c r="X2" s="122"/>
      <c r="Y2" s="123" t="s">
        <v>107</v>
      </c>
      <c r="Z2" s="124">
        <f>R3</f>
        <v>1100</v>
      </c>
    </row>
    <row r="3" spans="2:26" ht="17.25" thickBot="1">
      <c r="B3" s="178" t="s">
        <v>170</v>
      </c>
      <c r="Q3" s="109" t="s">
        <v>111</v>
      </c>
      <c r="R3" s="177">
        <v>1100</v>
      </c>
      <c r="T3" s="179" t="s">
        <v>171</v>
      </c>
      <c r="U3" s="122"/>
      <c r="V3" s="122"/>
      <c r="W3" s="122"/>
      <c r="X3" s="122"/>
      <c r="Y3" s="122"/>
      <c r="Z3" s="121" t="s">
        <v>113</v>
      </c>
    </row>
    <row r="4" spans="2:26" ht="17.25" customHeight="1" thickBot="1">
      <c r="B4" s="224" t="s">
        <v>53</v>
      </c>
      <c r="C4" s="216" t="s">
        <v>54</v>
      </c>
      <c r="D4" s="217"/>
      <c r="E4" s="216" t="s">
        <v>24</v>
      </c>
      <c r="F4" s="217"/>
      <c r="G4" s="216" t="s">
        <v>23</v>
      </c>
      <c r="H4" s="217"/>
      <c r="I4" s="216" t="s">
        <v>32</v>
      </c>
      <c r="J4" s="217"/>
      <c r="K4" s="216" t="s">
        <v>28</v>
      </c>
      <c r="L4" s="217"/>
      <c r="M4" s="216" t="s">
        <v>5385</v>
      </c>
      <c r="N4" s="217"/>
      <c r="O4" s="216" t="s">
        <v>106</v>
      </c>
      <c r="P4" s="217"/>
      <c r="Q4" s="218" t="s">
        <v>55</v>
      </c>
      <c r="R4" s="219"/>
      <c r="T4" s="220" t="s">
        <v>99</v>
      </c>
      <c r="U4" s="214" t="s">
        <v>100</v>
      </c>
      <c r="V4" s="214" t="s">
        <v>101</v>
      </c>
      <c r="W4" s="214" t="s">
        <v>102</v>
      </c>
      <c r="X4" s="214" t="s">
        <v>103</v>
      </c>
      <c r="Y4" s="214" t="s">
        <v>104</v>
      </c>
      <c r="Z4" s="214" t="s">
        <v>105</v>
      </c>
    </row>
    <row r="5" spans="2:26" ht="17.25" thickBot="1">
      <c r="B5" s="224"/>
      <c r="C5" s="18" t="s">
        <v>56</v>
      </c>
      <c r="D5" s="18" t="s">
        <v>57</v>
      </c>
      <c r="E5" s="18" t="s">
        <v>56</v>
      </c>
      <c r="F5" s="18" t="s">
        <v>57</v>
      </c>
      <c r="G5" s="18" t="s">
        <v>56</v>
      </c>
      <c r="H5" s="18" t="s">
        <v>57</v>
      </c>
      <c r="I5" s="18" t="s">
        <v>56</v>
      </c>
      <c r="J5" s="18" t="s">
        <v>57</v>
      </c>
      <c r="K5" s="18" t="s">
        <v>56</v>
      </c>
      <c r="L5" s="18" t="s">
        <v>57</v>
      </c>
      <c r="M5" s="18" t="s">
        <v>56</v>
      </c>
      <c r="N5" s="18" t="s">
        <v>57</v>
      </c>
      <c r="O5" s="18" t="s">
        <v>56</v>
      </c>
      <c r="P5" s="18" t="s">
        <v>57</v>
      </c>
      <c r="Q5" s="19" t="s">
        <v>56</v>
      </c>
      <c r="R5" s="19" t="s">
        <v>58</v>
      </c>
      <c r="T5" s="221"/>
      <c r="U5" s="215"/>
      <c r="V5" s="215"/>
      <c r="W5" s="215"/>
      <c r="X5" s="215"/>
      <c r="Y5" s="215"/>
      <c r="Z5" s="215"/>
    </row>
    <row r="6" spans="2:26" ht="19.5" thickBot="1">
      <c r="B6" s="20" t="s">
        <v>59</v>
      </c>
      <c r="C6" s="21">
        <f>SUMPRODUCT(SUMIFS(Daily!$R:$R,Daily!$G:$G,"1",Daily!$C:$C,"ATK",Daily!$I:$I,"수리완료")) + SUMPRODUCT(SUMIFS(Daily!$R:$R,Daily!$G:$G,"1",Daily!$C:$C,"ATK",Daily!$I:$I,"외주수리완료"))</f>
        <v>145</v>
      </c>
      <c r="D6" s="117">
        <f>IF($R$2="K\",(SUMPRODUCT(SUMIFS(Daily!$V:$V,Daily!$G:$G,"1",Daily!$C:$C,"ATK",Daily!$I:$I,"수리완료")) + SUMPRODUCT(SUMIFS(Daily!$V:$V,Daily!$G:$G,"1",Daily!$C:$C,"ATK",Daily!$I:$I,"외주수리완료"))),(SUMPRODUCT(SUMIFS(Daily!$V:$V,Daily!$G:$G,"1",Daily!$C:$C,"ATK",Daily!$I:$I,"수리완료")) + SUMPRODUCT(SUMIFS(Daily!$V:$V,Daily!$G:$G,"1",Daily!$C:$C,"ATK",Daily!$I:$I,"외주수리완료")))/$R$3)</f>
        <v>148.95272727272726</v>
      </c>
      <c r="E6" s="21">
        <f>SUMIFS(Daily!$R:$R,Daily!$G:$G,1,Daily!$I:$I,{"수리완료"},Daily!$C:$C,"ATP")+SUMIFS(Daily!$R:$R,Daily!$G:$G,1,Daily!$I:$I,{"외주수리완료"},Daily!$C:$C,"ATP")</f>
        <v>22</v>
      </c>
      <c r="F6" s="117">
        <f>IF($R$2="K\",SUMIFS(Daily!$V:$V,Daily!$G:$G,1,Daily!$I:$I,{"수리완료"},Daily!$C:$C,"ATP")+SUMIFS(Daily!$V:$V,Daily!$G:$G,1,Daily!$I:$I,{"외주수리완료"},Daily!$C:$C,"ATP"),(SUMIFS(Daily!$V:$V,Daily!$G:$G,1,Daily!$I:$I,{"수리완료"},Daily!$C:$C,"ATP")+SUMIFS(Daily!$V:$V,Daily!$G:$G,1,Daily!$I:$I,{"외주수리완료"},Daily!$C:$C,"ATP"))/$R$3)</f>
        <v>17.23543636363636</v>
      </c>
      <c r="G6" s="21">
        <f>SUMIFS(Daily!$R:$R,Daily!$G:$G,1,Daily!$I:$I,{"수리완료"},Daily!$C:$C,"ATC")+SUMIFS(Daily!$R:$R,Daily!$G:$G,1,Daily!$I:$I,{"외주수리완료"},Daily!$C:$C,"ATC")</f>
        <v>0</v>
      </c>
      <c r="H6" s="117">
        <f>IF($R$2="K\",SUMIFS(Daily!$V:$V,Daily!$G:$G,1,Daily!$I:$I,{"수리완료"},Daily!$C:$C,"ATC")+SUMIFS(Daily!$V:$V,Daily!$G:$G,1,Daily!$I:$I,{"외주수리완료"},Daily!$C:$C,"ATC"),(SUMIFS(Daily!$V:$V,Daily!$G:$G,1,Daily!$I:$I,{"수리완료"},Daily!$C:$C,"ATC")+SUMIFS(Daily!$V:$V,Daily!$G:$G,1,Daily!$I:$I,{"외주수리완료"},Daily!$C:$C,"ATC"))/$R$3)</f>
        <v>0</v>
      </c>
      <c r="I6" s="21">
        <f>SUMIFS(Daily!$R:$R,Daily!$G:$G,1,Daily!$I:$I,{"수리완료"},Daily!$C:$C,"ATT")+SUMIFS(Daily!$R:$R,Daily!$G:$G,1,Daily!$I:$I,{"외주수리완료"},Daily!$C:$C,"ATT")</f>
        <v>0</v>
      </c>
      <c r="J6" s="117">
        <f>IF($R$2="K\",SUMIFS(Daily!$V:$V,Daily!$G:$G,1,Daily!$I:$I,{"수리완료"},Daily!$C:$C,"ATT")+SUMIFS(Daily!$V:$V,Daily!$G:$G,1,Daily!$I:$I,{"외주수리완료"},Daily!$C:$C,"ATT"),(SUMIFS(Daily!$V:$V,Daily!$G:$G,1,Daily!$I:$I,{"수리완료"},Daily!$C:$C,"ATT")+SUMIFS(Daily!$V:$V,Daily!$G:$G,1,Daily!$I:$I,{"외주수리완료"},Daily!$C:$C,"ATT"))/$R$3)</f>
        <v>0</v>
      </c>
      <c r="K6" s="21">
        <f>SUMIFS(Daily!$R:$R,Daily!$G:$G,1,Daily!$I:$I,{"수리완료"},Daily!$C:$C,"ATM")+SUMIFS(Daily!$R:$R,Daily!$G:$G,1,Daily!$I:$I,{"외주수리완료"},Daily!$C:$C,"ATM")</f>
        <v>0</v>
      </c>
      <c r="L6" s="117">
        <f>IF($R$2="K\",SUMIFS(Daily!$V:$V,Daily!$G:$G,1,Daily!$I:$I,{"수리완료"},Daily!$C:$C,"ATM")+SUMIFS(Daily!$V:$V,Daily!$G:$G,1,Daily!$I:$I,{"외주수리완료"},Daily!$C:$C,"ATM"),(SUMIFS(Daily!$V:$V,Daily!$G:$G,1,Daily!$I:$I,{"수리완료"},Daily!$C:$C,"ATM")+SUMIFS(Daily!$V:$V,Daily!$G:$G,1,Daily!$I:$I,{"외주수리완료"},Daily!$C:$C,"ATM"))/$R$3)</f>
        <v>0</v>
      </c>
      <c r="M6" s="21">
        <f>SUMIFS(Daily!$R:$R,Daily!$G:$G,1,Daily!$I:$I,{"수리완료"},Daily!$C:$C,"ATJ")+SUMIFS(Daily!$R:$R,Daily!$G:$G,1,Daily!$I:$I,{"외주수리완료"},Daily!$C:$C,"ATJ")</f>
        <v>0</v>
      </c>
      <c r="N6" s="117">
        <f>IF($R$2="K\",SUMIFS(Daily!$V:$V,Daily!$G:$G,1,Daily!$I:$I,{"수리완료"},Daily!$C:$C,"ATJ")+SUMIFS(Daily!$V:$V,Daily!$G:$G,1,Daily!$I:$I,{"외주수리완료"},Daily!$C:$C,"ATJ"),(SUMIFS(Daily!$V:$V,Daily!$G:$G,1,Daily!$I:$I,{"수리완료"},Daily!$C:$C,"ATJ")+SUMIFS(Daily!$V:$V,Daily!$G:$G,1,Daily!$I:$I,{"외주수리완료"},Daily!$C:$C,"ATJ"))/$R$3)</f>
        <v>0</v>
      </c>
      <c r="O6" s="21">
        <f>SUMIFS(Daily!$R:$R,Daily!$G:$G,1,Daily!$I:$I,{"*수리완료"},Daily!$C:$C,"ATEP")</f>
        <v>0</v>
      </c>
      <c r="P6" s="117">
        <f>IF($R$2="K\",SUMIFS(Daily!$V:$V,Daily!$G:$G,1,Daily!$I:$I,{"수리완료"},Daily!$C:$C,"ATEP")+SUMIFS(Daily!$V:$V,Daily!$G:$G,1,Daily!$I:$I,{"외주수리완료"},Daily!$C:$C,"ATEP"),(SUMIFS(Daily!$V:$V,Daily!$G:$G,1,Daily!$I:$I,{"수리완료"},Daily!$C:$C,"ATEP")+SUMIFS(Daily!$V:$V,Daily!$G:$G,1,Daily!$I:$I,{"외주수리완료"},Daily!$C:$C,"ATEP"))/$R$3)</f>
        <v>0</v>
      </c>
      <c r="Q6" s="22">
        <f>C6+E6+G6+I6+K6+M6+O6</f>
        <v>167</v>
      </c>
      <c r="R6" s="119">
        <f>D6+F6+H6+J6+L6+N6+P6</f>
        <v>166.18816363636361</v>
      </c>
      <c r="T6" s="89" t="s">
        <v>54</v>
      </c>
      <c r="U6" s="96">
        <f>COUNTIF(Daily!C:C, T6)-COUNTIFS(Daily!C:C, T6, Daily!I:I, "Other")</f>
        <v>1577</v>
      </c>
      <c r="V6" s="96">
        <f>COUNTIFS(Daily!C:C, T6, Daily!I:I, "수리완료")+COUNTIFS(Daily!C:C, T6, Daily!I:I, "외주수리완료")</f>
        <v>1503</v>
      </c>
      <c r="W6" s="90">
        <f>COUNTIFS(Daily!C:C, T6, Daily!I:I, "수리불가")+COUNTIFS(Daily!C:C, T6, Daily!I:I, "외주수리불가")+COUNTIFS(Daily!C:C, T6, Daily!I:I, "폐기")</f>
        <v>74</v>
      </c>
      <c r="X6" s="90">
        <v>0</v>
      </c>
      <c r="Y6" s="90">
        <f>COUNTIFS(Daily!C:C, T6, Daily!I:I, "수리중")+COUNTIFS(Daily!C:C, T6, Daily!I:I, "외주수리중")</f>
        <v>0</v>
      </c>
      <c r="Z6" s="91">
        <f>(SUMIFS(Daily!V:V, Daily!C:C, T6, Daily!I:I, "수리완료")+SUMIFS(Daily!V:V, Daily!C:C, T6, Daily!I:I, "외주수리완료"))/$Z$2</f>
        <v>1838.3355272727274</v>
      </c>
    </row>
    <row r="7" spans="2:26" ht="19.5" thickBot="1">
      <c r="B7" s="20" t="s">
        <v>60</v>
      </c>
      <c r="C7" s="21">
        <f>SUMPRODUCT(SUMIFS(Daily!$R:$R,Daily!$G:$G,"2",Daily!$C:$C,"ATK",Daily!$I:$I,"수리완료")) + SUMPRODUCT(SUMIFS(Daily!$R:$R,Daily!$G:$G,"2",Daily!$C:$C,"ATK",Daily!$I:$I,"외주수리완료"))</f>
        <v>153</v>
      </c>
      <c r="D7" s="117">
        <f>IF($R$2="K\",(SUMPRODUCT(SUMIFS(Daily!$V:$V,Daily!$G:$G,"2",Daily!$C:$C,"ATK",Daily!$I:$I,"수리완료")) + SUMPRODUCT(SUMIFS(Daily!$V:$V,Daily!$G:$G,"2",Daily!$C:$C,"ATK",Daily!$I:$I,"외주수리완료"))),(SUMPRODUCT(SUMIFS(Daily!$V:$V,Daily!$G:$G,"2",Daily!$C:$C,"ATK",Daily!$I:$I,"수리완료")) + SUMPRODUCT(SUMIFS(Daily!$V:$V,Daily!$G:$G,"2",Daily!$C:$C,"ATK",Daily!$I:$I,"외주수리완료")))/$R$3)</f>
        <v>130.93181818181819</v>
      </c>
      <c r="E7" s="21">
        <f>SUMIFS(Daily!$R:$R,Daily!$G:$G,2,Daily!$I:$I,{"수리완료"},Daily!$C:$C,"ATP")+SUMIFS(Daily!$R:$R,Daily!$G:$G,2,Daily!$I:$I,{"외주수리완료"},Daily!$C:$C,"ATP")</f>
        <v>12</v>
      </c>
      <c r="F7" s="117">
        <f>IF($R$2="K\",SUMIFS(Daily!$V:$V,Daily!$G:$G,2,Daily!$I:$I,{"수리완료"},Daily!$C:$C,"ATP")+SUMIFS(Daily!$V:$V,Daily!$G:$G,2,Daily!$I:$I,{"외주수리완료"},Daily!$C:$C,"ATP"),(SUMIFS(Daily!$V:$V,Daily!$G:$G,2,Daily!$I:$I,{"수리완료"},Daily!$C:$C,"ATP")+SUMIFS(Daily!$V:$V,Daily!$G:$G,2,Daily!$I:$I,{"외주수리완료"},Daily!$C:$C,"ATP"))/$R$3)</f>
        <v>13.375636363636362</v>
      </c>
      <c r="G7" s="21">
        <f>SUMIFS(Daily!$R:$R,Daily!$G:$G,2,Daily!$I:$I,{"수리완료"},Daily!$C:$C,"ATC")+SUMIFS(Daily!$R:$R,Daily!$G:$G,2,Daily!$I:$I,{"외주수리완료"},Daily!$C:$C,"ATC")</f>
        <v>0</v>
      </c>
      <c r="H7" s="117">
        <f>IF($R$2="K\",SUMIFS(Daily!$V:$V,Daily!$G:$G,2,Daily!$I:$I,{"수리완료"},Daily!$C:$C,"ATC")+SUMIFS(Daily!$V:$V,Daily!$G:$G,2,Daily!$I:$I,{"외주수리완료"},Daily!$C:$C,"ATC"),(SUMIFS(Daily!$V:$V,Daily!$G:$G,2,Daily!$I:$I,{"수리완료"},Daily!$C:$C,"ATC")+SUMIFS(Daily!$V:$V,Daily!$G:$G,2,Daily!$I:$I,{"외주수리완료"},Daily!$C:$C,"ATC"))/$R$3)</f>
        <v>0</v>
      </c>
      <c r="I7" s="21">
        <f>SUMIFS(Daily!$R:$R,Daily!$G:$G,2,Daily!$I:$I,{"수리완료"},Daily!$C:$C,"ATT")+SUMIFS(Daily!$R:$R,Daily!$G:$G,2,Daily!$I:$I,{"외주수리완료"},Daily!$C:$C,"ATT")</f>
        <v>0</v>
      </c>
      <c r="J7" s="117">
        <f>IF($R$2="K\",SUMIFS(Daily!$V:$V,Daily!$G:$G,2,Daily!$I:$I,{"수리완료"},Daily!$C:$C,"ATT")+SUMIFS(Daily!$V:$V,Daily!$G:$G,2,Daily!$I:$I,{"외주수리완료"},Daily!$C:$C,"ATT"),(SUMIFS(Daily!$V:$V,Daily!$G:$G,2,Daily!$I:$I,{"수리완료"},Daily!$C:$C,"ATT")+SUMIFS(Daily!$V:$V,Daily!$G:$G,2,Daily!$I:$I,{"외주수리완료"},Daily!$C:$C,"ATT"))/$R$3)</f>
        <v>0</v>
      </c>
      <c r="K7" s="21">
        <f>SUMIFS(Daily!$R:$R,Daily!$G:$G,2,Daily!$I:$I,{"수리완료"},Daily!$C:$C,"ATM")+SUMIFS(Daily!$R:$R,Daily!$G:$G,2,Daily!$I:$I,{"외주수리완료"},Daily!$C:$C,"ATM")</f>
        <v>0</v>
      </c>
      <c r="L7" s="117">
        <f>IF($R$2="K\",SUMIFS(Daily!$V:$V,Daily!$G:$G,2,Daily!$I:$I,{"수리완료"},Daily!$C:$C,"ATM")+SUMIFS(Daily!$V:$V,Daily!$G:$G,2,Daily!$I:$I,{"외주수리완료"},Daily!$C:$C,"ATM"),(SUMIFS(Daily!$V:$V,Daily!$G:$G,2,Daily!$I:$I,{"수리완료"},Daily!$C:$C,"ATM")+SUMIFS(Daily!$V:$V,Daily!$G:$G,2,Daily!$I:$I,{"외주수리완료"},Daily!$C:$C,"ATM"))/$R$3)</f>
        <v>0</v>
      </c>
      <c r="M7" s="21">
        <f>SUMIFS(Daily!$R:$R,Daily!$G:$G,2,Daily!$I:$I,{"수리완료"},Daily!$C:$C,"ATJ")+SUMIFS(Daily!$R:$R,Daily!$G:$G,2,Daily!$I:$I,{"외주수리완료"},Daily!$C:$C,"ATJ")</f>
        <v>0</v>
      </c>
      <c r="N7" s="117">
        <f>IF($R$2="K\",SUMIFS(Daily!$V:$V,Daily!$G:$G,2,Daily!$I:$I,{"수리완료"},Daily!$C:$C,"ATJ")+SUMIFS(Daily!$V:$V,Daily!$G:$G,2,Daily!$I:$I,{"외주수리완료"},Daily!$C:$C,"ATJ"),(SUMIFS(Daily!$V:$V,Daily!$G:$G,2,Daily!$I:$I,{"수리완료"},Daily!$C:$C,"ATJ")+SUMIFS(Daily!$V:$V,Daily!$G:$G,2,Daily!$I:$I,{"외주수리완료"},Daily!$C:$C,"ATJ"))/$R$3)</f>
        <v>0</v>
      </c>
      <c r="O7" s="21">
        <f>SUMIFS(Daily!$R:$R,Daily!$G:$G,2,Daily!$I:$I,{"*수리완료"},Daily!$C:$C,"ATEP")</f>
        <v>0</v>
      </c>
      <c r="P7" s="117">
        <f>IF($R$2="K\",SUMIFS(Daily!$V:$V,Daily!$G:$G,2,Daily!$I:$I,{"수리완료"},Daily!$C:$C,"ATEP")+SUMIFS(Daily!$V:$V,Daily!$G:$G,2,Daily!$I:$I,{"외주수리완료"},Daily!$C:$C,"ATEP"),(SUMIFS(Daily!$V:$V,Daily!$G:$G,2,Daily!$I:$I,{"수리완료"},Daily!$C:$C,"ATEP")+SUMIFS(Daily!$V:$V,Daily!$G:$G,2,Daily!$I:$I,{"외주수리완료"},Daily!$C:$C,"ATEP"))/$R$3)</f>
        <v>0</v>
      </c>
      <c r="Q7" s="22">
        <f t="shared" ref="Q7:Q17" si="0">C7+E7+G7+I7+K7+M7+O7</f>
        <v>165</v>
      </c>
      <c r="R7" s="119">
        <f t="shared" ref="R7:R17" si="1">D7+F7+H7+J7+L7+N7+P7</f>
        <v>144.30745454545456</v>
      </c>
      <c r="T7" s="92" t="s">
        <v>24</v>
      </c>
      <c r="U7" s="97">
        <f>COUNTIF(Daily!C:C, T7)-COUNTIFS(Daily!C:C, T7, Daily!I:I, "Other")</f>
        <v>79</v>
      </c>
      <c r="V7" s="97">
        <f>COUNTIFS(Daily!C:C, T7, Daily!I:I, "수리완료")+COUNTIFS(Daily!C:C, T7, Daily!I:I, "외주수리완료")</f>
        <v>68</v>
      </c>
      <c r="W7" s="93">
        <f>COUNTIFS(Daily!C:C, T7, Daily!I:I, "수리불가")+COUNTIFS(Daily!C:C, T7, Daily!I:I, "외주수리불가")+COUNTIFS(Daily!C:C, T7, Daily!I:I, "폐기")</f>
        <v>11</v>
      </c>
      <c r="X7" s="94">
        <v>0</v>
      </c>
      <c r="Y7" s="93">
        <f>COUNTIFS(Daily!C:C, T7, Daily!I:I, "수리중")+COUNTIFS(Daily!C:C, T7, Daily!I:I, "외주수리중")</f>
        <v>0</v>
      </c>
      <c r="Z7" s="95">
        <f>(SUMIFS(Daily!V:V, Daily!C:C, T7, Daily!I:I, "수리완료")+SUMIFS(Daily!V:V, Daily!C:C, T7, Daily!I:I, "외주수리완료"))/$Z$2</f>
        <v>75.397581818181834</v>
      </c>
    </row>
    <row r="8" spans="2:26" ht="19.5" thickBot="1">
      <c r="B8" s="20" t="s">
        <v>61</v>
      </c>
      <c r="C8" s="21">
        <f>SUMPRODUCT(SUMIFS(Daily!$R:$R,Daily!$G:$G,"3",Daily!$C:$C,"ATK",Daily!$I:$I,"수리완료")) + SUMPRODUCT(SUMIFS(Daily!$R:$R,Daily!$G:$G,"3",Daily!$C:$C,"ATK",Daily!$I:$I,"외주수리완료"))</f>
        <v>157</v>
      </c>
      <c r="D8" s="117">
        <f>IF($R$2="K\",(SUMPRODUCT(SUMIFS(Daily!$V:$V,Daily!$G:$G,"3",Daily!$C:$C,"ATK",Daily!$I:$I,"수리완료")) + SUMPRODUCT(SUMIFS(Daily!$V:$V,Daily!$G:$G,"3",Daily!$C:$C,"ATK",Daily!$I:$I,"외주수리완료"))),(SUMPRODUCT(SUMIFS(Daily!$V:$V,Daily!$G:$G,"3",Daily!$C:$C,"ATK",Daily!$I:$I,"수리완료")) + SUMPRODUCT(SUMIFS(Daily!$V:$V,Daily!$G:$G,"3",Daily!$C:$C,"ATK",Daily!$I:$I,"외주수리완료")))/$R$3)</f>
        <v>127.31734545454547</v>
      </c>
      <c r="E8" s="21">
        <f>SUMIFS(Daily!$R:$R,Daily!$G:$G,3,Daily!$I:$I,{"수리완료"},Daily!$C:$C,"ATP")+SUMIFS(Daily!$R:$R,Daily!$G:$G,3,Daily!$I:$I,{"외주수리완료"},Daily!$C:$C,"ATP")</f>
        <v>6</v>
      </c>
      <c r="F8" s="117">
        <f>IF($R$2="K\",SUMIFS(Daily!$V:$V,Daily!$G:$G,3,Daily!$I:$I,{"수리완료"},Daily!$C:$C,"ATP")+SUMIFS(Daily!$V:$V,Daily!$G:$G,3,Daily!$I:$I,{"외주수리완료"},Daily!$C:$C,"ATP"),(SUMIFS(Daily!$V:$V,Daily!$G:$G,3,Daily!$I:$I,{"수리완료"},Daily!$C:$C,"ATP")+SUMIFS(Daily!$V:$V,Daily!$G:$G,3,Daily!$I:$I,{"외주수리완료"},Daily!$C:$C,"ATP"))/$R$3)</f>
        <v>4.3381818181818179</v>
      </c>
      <c r="G8" s="21">
        <f>SUMIFS(Daily!$R:$R,Daily!$G:$G,3,Daily!$I:$I,{"수리완료"},Daily!$C:$C,"ATC")+SUMIFS(Daily!$R:$R,Daily!$G:$G,3,Daily!$I:$I,{"외주수리완료"},Daily!$C:$C,"ATC")</f>
        <v>0</v>
      </c>
      <c r="H8" s="117">
        <f>IF($R$2="K\",SUMIFS(Daily!$V:$V,Daily!$G:$G,3,Daily!$I:$I,{"수리완료"},Daily!$C:$C,"ATC")+SUMIFS(Daily!$V:$V,Daily!$G:$G,3,Daily!$I:$I,{"외주수리완료"},Daily!$C:$C,"ATC"),(SUMIFS(Daily!$V:$V,Daily!$G:$G,3,Daily!$I:$I,{"수리완료"},Daily!$C:$C,"ATC")+SUMIFS(Daily!$V:$V,Daily!$G:$G,3,Daily!$I:$I,{"외주수리완료"},Daily!$C:$C,"ATC"))/$R$3)</f>
        <v>0</v>
      </c>
      <c r="I8" s="21">
        <f>SUMIFS(Daily!$R:$R,Daily!$G:$G,3,Daily!$I:$I,{"수리완료"},Daily!$C:$C,"ATT")+SUMIFS(Daily!$R:$R,Daily!$G:$G,3,Daily!$I:$I,{"외주수리완료"},Daily!$C:$C,"ATT")</f>
        <v>0</v>
      </c>
      <c r="J8" s="117">
        <f>IF($R$2="K\",SUMIFS(Daily!$V:$V,Daily!$G:$G,3,Daily!$I:$I,{"수리완료"},Daily!$C:$C,"ATT")+SUMIFS(Daily!$V:$V,Daily!$G:$G,3,Daily!$I:$I,{"외주수리완료"},Daily!$C:$C,"ATT"),(SUMIFS(Daily!$V:$V,Daily!$G:$G,3,Daily!$I:$I,{"수리완료"},Daily!$C:$C,"ATT")+SUMIFS(Daily!$V:$V,Daily!$G:$G,3,Daily!$I:$I,{"외주수리완료"},Daily!$C:$C,"ATT"))/$R$3)</f>
        <v>0</v>
      </c>
      <c r="K8" s="21">
        <f>SUMIFS(Daily!$R:$R,Daily!$G:$G,3,Daily!$I:$I,{"수리완료"},Daily!$C:$C,"ATM")+SUMIFS(Daily!$R:$R,Daily!$G:$G,3,Daily!$I:$I,{"외주수리완료"},Daily!$C:$C,"ATM")</f>
        <v>0</v>
      </c>
      <c r="L8" s="117">
        <f>IF($R$2="K\",SUMIFS(Daily!$V:$V,Daily!$G:$G,3,Daily!$I:$I,{"수리완료"},Daily!$C:$C,"ATM")+SUMIFS(Daily!$V:$V,Daily!$G:$G,3,Daily!$I:$I,{"외주수리완료"},Daily!$C:$C,"ATM"),(SUMIFS(Daily!$V:$V,Daily!$G:$G,3,Daily!$I:$I,{"수리완료"},Daily!$C:$C,"ATM")+SUMIFS(Daily!$V:$V,Daily!$G:$G,3,Daily!$I:$I,{"외주수리완료"},Daily!$C:$C,"ATM"))/$R$3)</f>
        <v>0</v>
      </c>
      <c r="M8" s="21">
        <f>SUMIFS(Daily!$R:$R,Daily!$G:$G,3,Daily!$I:$I,{"수리완료"},Daily!$C:$C,"ATJ")+SUMIFS(Daily!$R:$R,Daily!$G:$G,3,Daily!$I:$I,{"외주수리완료"},Daily!$C:$C,"ATJ")</f>
        <v>0</v>
      </c>
      <c r="N8" s="117">
        <f>IF($R$2="K\",SUMIFS(Daily!$V:$V,Daily!$G:$G,3,Daily!$I:$I,{"수리완료"},Daily!$C:$C,"ATJ")+SUMIFS(Daily!$V:$V,Daily!$G:$G,3,Daily!$I:$I,{"외주수리완료"},Daily!$C:$C,"ATJ"),(SUMIFS(Daily!$V:$V,Daily!$G:$G,3,Daily!$I:$I,{"수리완료"},Daily!$C:$C,"ATJ")+SUMIFS(Daily!$V:$V,Daily!$G:$G,3,Daily!$I:$I,{"외주수리완료"},Daily!$C:$C,"ATJ"))/$R$3)</f>
        <v>0</v>
      </c>
      <c r="O8" s="21">
        <f>SUMIFS(Daily!$R:$R,Daily!$G:$G,3,Daily!$I:$I,{"*수리완료"},Daily!$C:$C,"ATEP")</f>
        <v>0</v>
      </c>
      <c r="P8" s="117">
        <f>IF($R$2="K\",SUMIFS(Daily!$V:$V,Daily!$G:$G,3,Daily!$I:$I,{"수리완료"},Daily!$C:$C,"ATEP")+SUMIFS(Daily!$V:$V,Daily!$G:$G,3,Daily!$I:$I,{"외주수리완료"},Daily!$C:$C,"ATEP"),(SUMIFS(Daily!$V:$V,Daily!$G:$G,3,Daily!$I:$I,{"수리완료"},Daily!$C:$C,"ATEP")+SUMIFS(Daily!$V:$V,Daily!$G:$G,3,Daily!$I:$I,{"외주수리완료"},Daily!$C:$C,"ATEP"))/$R$3)</f>
        <v>0</v>
      </c>
      <c r="Q8" s="22">
        <f t="shared" si="0"/>
        <v>163</v>
      </c>
      <c r="R8" s="119">
        <f t="shared" si="1"/>
        <v>131.65552727272728</v>
      </c>
      <c r="T8" s="89" t="s">
        <v>32</v>
      </c>
      <c r="U8" s="96">
        <f>COUNTIF(Daily!C:C, T8)-COUNTIFS(Daily!C:C, T8, Daily!I:I, "Other")</f>
        <v>0</v>
      </c>
      <c r="V8" s="90">
        <f>COUNTIFS(Daily!C:C, T8, Daily!I:I, "수리완료")+COUNTIFS(Daily!C:C, T8, Daily!I:I, "외주수리완료")</f>
        <v>0</v>
      </c>
      <c r="W8" s="90">
        <f>COUNTIFS(Daily!C:C, T8, Daily!I:I, "수리불가")+COUNTIFS(Daily!C:C, T8, Daily!I:I, "외주수리불가")+COUNTIFS(Daily!C:C, T8, Daily!I:I, "폐기")</f>
        <v>0</v>
      </c>
      <c r="X8" s="90">
        <v>0</v>
      </c>
      <c r="Y8" s="90">
        <f>COUNTIFS(Daily!C:C, T8, Daily!I:I, "수리중")+COUNTIFS(Daily!C:C, T8, Daily!I:I, "외주수리중")</f>
        <v>0</v>
      </c>
      <c r="Z8" s="91">
        <f>(SUMIFS(Daily!V:V, Daily!C:C, T8, Daily!I:I, "수리완료")+SUMIFS(Daily!V:V, Daily!C:C, T8, Daily!I:I, "외주수리완료"))/$Z$2</f>
        <v>0</v>
      </c>
    </row>
    <row r="9" spans="2:26" ht="19.5" thickBot="1">
      <c r="B9" s="20" t="s">
        <v>62</v>
      </c>
      <c r="C9" s="21">
        <f>SUMPRODUCT(SUMIFS(Daily!$R:$R,Daily!$G:$G,"4",Daily!$C:$C,"ATK",Daily!$I:$I,"수리완료")) + SUMPRODUCT(SUMIFS(Daily!$R:$R,Daily!$G:$G,"4",Daily!$C:$C,"ATK",Daily!$I:$I,"외주수리완료"))</f>
        <v>167</v>
      </c>
      <c r="D9" s="117">
        <f>IF($R$2="K\",(SUMPRODUCT(SUMIFS(Daily!$V:$V,Daily!$G:$G,"4",Daily!$C:$C,"ATK",Daily!$I:$I,"수리완료")) + SUMPRODUCT(SUMIFS(Daily!$V:$V,Daily!$G:$G,"4",Daily!$C:$C,"ATK",Daily!$I:$I,"외주수리완료"))),(SUMPRODUCT(SUMIFS(Daily!$V:$V,Daily!$G:$G,"4",Daily!$C:$C,"ATK",Daily!$I:$I,"수리완료")) + SUMPRODUCT(SUMIFS(Daily!$V:$V,Daily!$G:$G,"4",Daily!$C:$C,"ATK",Daily!$I:$I,"외주수리완료")))/$R$3)</f>
        <v>191.82636363636362</v>
      </c>
      <c r="E9" s="21">
        <f>SUMIFS(Daily!$R:$R,Daily!$G:$G,4,Daily!$I:$I,{"수리완료"},Daily!$C:$C,"ATP")+SUMIFS(Daily!$R:$R,Daily!$G:$G,4,Daily!$I:$I,{"외주수리완료"},Daily!$C:$C,"ATP")</f>
        <v>0</v>
      </c>
      <c r="F9" s="117">
        <f>IF($R$2="K\",SUMIFS(Daily!$V:$V,Daily!$G:$G,4,Daily!$I:$I,{"수리완료"},Daily!$C:$C,"ATP")+SUMIFS(Daily!$V:$V,Daily!$G:$G,4,Daily!$I:$I,{"외주수리완료"},Daily!$C:$C,"ATP"),(SUMIFS(Daily!$V:$V,Daily!$G:$G,4,Daily!$I:$I,{"수리완료"},Daily!$C:$C,"ATP")+SUMIFS(Daily!$V:$V,Daily!$G:$G,4,Daily!$I:$I,{"외주수리완료"},Daily!$C:$C,"ATP"))/$R$3)</f>
        <v>0</v>
      </c>
      <c r="G9" s="21">
        <f>SUMIFS(Daily!$R:$R,Daily!$G:$G,4,Daily!$I:$I,{"수리완료"},Daily!$C:$C,"ATC")+SUMIFS(Daily!$R:$R,Daily!$G:$G,4,Daily!$I:$I,{"외주수리완료"},Daily!$C:$C,"ATC")</f>
        <v>0</v>
      </c>
      <c r="H9" s="117">
        <f>IF($R$2="K\",SUMIFS(Daily!$V:$V,Daily!$G:$G,4,Daily!$I:$I,{"수리완료"},Daily!$C:$C,"ATC")+SUMIFS(Daily!$V:$V,Daily!$G:$G,4,Daily!$I:$I,{"외주수리완료"},Daily!$C:$C,"ATC"),(SUMIFS(Daily!$V:$V,Daily!$G:$G,4,Daily!$I:$I,{"수리완료"},Daily!$C:$C,"ATC")+SUMIFS(Daily!$V:$V,Daily!$G:$G,4,Daily!$I:$I,{"외주수리완료"},Daily!$C:$C,"ATC"))/$R$3)</f>
        <v>0</v>
      </c>
      <c r="I9" s="21">
        <f>SUMIFS(Daily!$R:$R,Daily!$G:$G,4,Daily!$I:$I,{"수리완료"},Daily!$C:$C,"ATT")+SUMIFS(Daily!$R:$R,Daily!$G:$G,4,Daily!$I:$I,{"외주수리완료"},Daily!$C:$C,"ATT")</f>
        <v>0</v>
      </c>
      <c r="J9" s="117">
        <f>IF($R$2="K\",SUMIFS(Daily!$V:$V,Daily!$G:$G,4,Daily!$I:$I,{"수리완료"},Daily!$C:$C,"ATT")+SUMIFS(Daily!$V:$V,Daily!$G:$G,4,Daily!$I:$I,{"외주수리완료"},Daily!$C:$C,"ATT"),(SUMIFS(Daily!$V:$V,Daily!$G:$G,4,Daily!$I:$I,{"수리완료"},Daily!$C:$C,"ATT")+SUMIFS(Daily!$V:$V,Daily!$G:$G,4,Daily!$I:$I,{"외주수리완료"},Daily!$C:$C,"ATT"))/$R$3)</f>
        <v>0</v>
      </c>
      <c r="K9" s="21">
        <f>SUMIFS(Daily!$R:$R,Daily!$G:$G,4,Daily!$I:$I,{"수리완료"},Daily!$C:$C,"ATM")+SUMIFS(Daily!$R:$R,Daily!$G:$G,4,Daily!$I:$I,{"외주수리완료"},Daily!$C:$C,"ATM")</f>
        <v>0</v>
      </c>
      <c r="L9" s="117">
        <f>IF($R$2="K\",SUMIFS(Daily!$V:$V,Daily!$G:$G,4,Daily!$I:$I,{"수리완료"},Daily!$C:$C,"ATM")+SUMIFS(Daily!$V:$V,Daily!$G:$G,4,Daily!$I:$I,{"외주수리완료"},Daily!$C:$C,"ATM"),(SUMIFS(Daily!$V:$V,Daily!$G:$G,4,Daily!$I:$I,{"수리완료"},Daily!$C:$C,"ATM")+SUMIFS(Daily!$V:$V,Daily!$G:$G,4,Daily!$I:$I,{"외주수리완료"},Daily!$C:$C,"ATM"))/$R$3)</f>
        <v>0</v>
      </c>
      <c r="M9" s="21">
        <f>SUMIFS(Daily!$R:$R,Daily!$G:$G,4,Daily!$I:$I,{"수리완료"},Daily!$C:$C,"ATJ")+SUMIFS(Daily!$R:$R,Daily!$G:$G,4,Daily!$I:$I,{"외주수리완료"},Daily!$C:$C,"ATJ")</f>
        <v>0</v>
      </c>
      <c r="N9" s="117">
        <f>IF($R$2="K\",SUMIFS(Daily!$V:$V,Daily!$G:$G,4,Daily!$I:$I,{"수리완료"},Daily!$C:$C,"ATJ")+SUMIFS(Daily!$V:$V,Daily!$G:$G,4,Daily!$I:$I,{"외주수리완료"},Daily!$C:$C,"ATJ"),(SUMIFS(Daily!$V:$V,Daily!$G:$G,4,Daily!$I:$I,{"수리완료"},Daily!$C:$C,"ATJ")+SUMIFS(Daily!$V:$V,Daily!$G:$G,4,Daily!$I:$I,{"외주수리완료"},Daily!$C:$C,"ATJ"))/$R$3)</f>
        <v>0</v>
      </c>
      <c r="O9" s="21">
        <f>SUMIFS(Daily!$R:$R,Daily!$G:$G,4,Daily!$I:$I,{"*수리완료"},Daily!$C:$C,"ATEP")</f>
        <v>0</v>
      </c>
      <c r="P9" s="117">
        <f>IF($R$2="K\",SUMIFS(Daily!$V:$V,Daily!$G:$G,4,Daily!$I:$I,{"수리완료"},Daily!$C:$C,"ATEP")+SUMIFS(Daily!$V:$V,Daily!$G:$G,4,Daily!$I:$I,{"외주수리완료"},Daily!$C:$C,"ATEP"),(SUMIFS(Daily!$V:$V,Daily!$G:$G,4,Daily!$I:$I,{"수리완료"},Daily!$C:$C,"ATEP")+SUMIFS(Daily!$V:$V,Daily!$G:$G,4,Daily!$I:$I,{"외주수리완료"},Daily!$C:$C,"ATEP"))/$R$3)</f>
        <v>0</v>
      </c>
      <c r="Q9" s="22">
        <f t="shared" si="0"/>
        <v>167</v>
      </c>
      <c r="R9" s="119">
        <f t="shared" si="1"/>
        <v>191.82636363636362</v>
      </c>
      <c r="T9" s="92" t="s">
        <v>23</v>
      </c>
      <c r="U9" s="97">
        <f>COUNTIF(Daily!C:C, T9)-COUNTIFS(Daily!C:C, T9, Daily!I:I, "Other")</f>
        <v>1</v>
      </c>
      <c r="V9" s="93">
        <f>COUNTIFS(Daily!C:C, T9, Daily!I:I, "수리완료")+COUNTIFS(Daily!C:C, T9, Daily!I:I, "외주수리완료")</f>
        <v>1</v>
      </c>
      <c r="W9" s="93">
        <f>COUNTIFS(Daily!C:C, T9, Daily!I:I, "수리불가")+COUNTIFS(Daily!C:C, T9, Daily!I:I, "외주수리불가")+COUNTIFS(Daily!C:C, T9, Daily!I:I, "폐기")</f>
        <v>0</v>
      </c>
      <c r="X9" s="94">
        <v>0</v>
      </c>
      <c r="Y9" s="93">
        <f>COUNTIFS(Daily!C:C, T9, Daily!I:I, "수리중")+COUNTIFS(Daily!C:C, T9, Daily!I:I, "외주수리중")</f>
        <v>0</v>
      </c>
      <c r="Z9" s="95">
        <f>(SUMIFS(Daily!V:V, Daily!C:C, T9, Daily!I:I, "수리완료")+SUMIFS(Daily!V:V, Daily!C:C, T9, Daily!I:I, "외주수리완료"))/$Z$2</f>
        <v>3.6272727272727274</v>
      </c>
    </row>
    <row r="10" spans="2:26" ht="19.5" thickBot="1">
      <c r="B10" s="20" t="s">
        <v>46</v>
      </c>
      <c r="C10" s="21">
        <f>SUMPRODUCT(SUMIFS(Daily!$R:$R,Daily!$G:$G,"5",Daily!$C:$C,"ATK",Daily!$I:$I,"수리완료")) + SUMPRODUCT(SUMIFS(Daily!$R:$R,Daily!$G:$G,"5",Daily!$C:$C,"ATK",Daily!$I:$I,"외주수리완료"))</f>
        <v>156</v>
      </c>
      <c r="D10" s="117">
        <f>IF($R$2="K\",(SUMPRODUCT(SUMIFS(Daily!$V:$V,Daily!$G:$G,"5",Daily!$C:$C,"ATK",Daily!$I:$I,"수리완료")) + SUMPRODUCT(SUMIFS(Daily!$V:$V,Daily!$G:$G,"5",Daily!$C:$C,"ATK",Daily!$I:$I,"외주수리완료"))),(SUMPRODUCT(SUMIFS(Daily!$V:$V,Daily!$G:$G,"5",Daily!$C:$C,"ATK",Daily!$I:$I,"수리완료")) + SUMPRODUCT(SUMIFS(Daily!$V:$V,Daily!$G:$G,"5",Daily!$C:$C,"ATK",Daily!$I:$I,"외주수리완료")))/$R$3)</f>
        <v>125.60045454545454</v>
      </c>
      <c r="E10" s="21">
        <f>SUMIFS(Daily!$R:$R,Daily!$G:$G,5,Daily!$I:$I,{"수리완료"},Daily!$C:$C,"ATP")+SUMIFS(Daily!$R:$R,Daily!$G:$G,5,Daily!$I:$I,{"외주수리완료"},Daily!$C:$C,"ATP")</f>
        <v>0</v>
      </c>
      <c r="F10" s="117">
        <f>IF($R$2="K\",SUMIFS(Daily!$V:$V,Daily!$G:$G,5,Daily!$I:$I,{"수리완료"},Daily!$C:$C,"ATP")+SUMIFS(Daily!$V:$V,Daily!$G:$G,5,Daily!$I:$I,{"외주수리완료"},Daily!$C:$C,"ATP"),(SUMIFS(Daily!$V:$V,Daily!$G:$G,5,Daily!$I:$I,{"수리완료"},Daily!$C:$C,"ATP")+SUMIFS(Daily!$V:$V,Daily!$G:$G,5,Daily!$I:$I,{"외주수리완료"},Daily!$C:$C,"ATP"))/$R$3)</f>
        <v>0</v>
      </c>
      <c r="G10" s="21">
        <f>SUMIFS(Daily!$R:$R,Daily!$G:$G,5,Daily!$I:$I,{"수리완료"},Daily!$C:$C,"ATC")+SUMIFS(Daily!$R:$R,Daily!$G:$G,5,Daily!$I:$I,{"외주수리완료"},Daily!$C:$C,"ATC")</f>
        <v>0</v>
      </c>
      <c r="H10" s="117">
        <f>IF($R$2="K\",SUMIFS(Daily!$V:$V,Daily!$G:$G,5,Daily!$I:$I,{"수리완료"},Daily!$C:$C,"ATC")+SUMIFS(Daily!$V:$V,Daily!$G:$G,5,Daily!$I:$I,{"외주수리완료"},Daily!$C:$C,"ATC"),(SUMIFS(Daily!$V:$V,Daily!$G:$G,5,Daily!$I:$I,{"수리완료"},Daily!$C:$C,"ATC")+SUMIFS(Daily!$V:$V,Daily!$G:$G,5,Daily!$I:$I,{"외주수리완료"},Daily!$C:$C,"ATC"))/$R$3)</f>
        <v>0</v>
      </c>
      <c r="I10" s="21">
        <f>SUMIFS(Daily!$R:$R,Daily!$G:$G,5,Daily!$I:$I,{"수리완료"},Daily!$C:$C,"ATT")+SUMIFS(Daily!$R:$R,Daily!$G:$G,5,Daily!$I:$I,{"외주수리완료"},Daily!$C:$C,"ATT")</f>
        <v>0</v>
      </c>
      <c r="J10" s="117">
        <f>IF($R$2="K\",SUMIFS(Daily!$V:$V,Daily!$G:$G,5,Daily!$I:$I,{"수리완료"},Daily!$C:$C,"ATT")+SUMIFS(Daily!$V:$V,Daily!$G:$G,5,Daily!$I:$I,{"외주수리완료"},Daily!$C:$C,"ATT"),(SUMIFS(Daily!$V:$V,Daily!$G:$G,5,Daily!$I:$I,{"수리완료"},Daily!$C:$C,"ATT")+SUMIFS(Daily!$V:$V,Daily!$G:$G,5,Daily!$I:$I,{"외주수리완료"},Daily!$C:$C,"ATT"))/$R$3)</f>
        <v>0</v>
      </c>
      <c r="K10" s="21">
        <f>SUMIFS(Daily!$R:$R,Daily!$G:$G,5,Daily!$I:$I,{"수리완료"},Daily!$C:$C,"ATM")+SUMIFS(Daily!$R:$R,Daily!$G:$G,5,Daily!$I:$I,{"외주수리완료"},Daily!$C:$C,"ATM")</f>
        <v>0</v>
      </c>
      <c r="L10" s="117">
        <f>IF($R$2="K\",SUMIFS(Daily!$V:$V,Daily!$G:$G,5,Daily!$I:$I,{"수리완료"},Daily!$C:$C,"ATM")+SUMIFS(Daily!$V:$V,Daily!$G:$G,5,Daily!$I:$I,{"외주수리완료"},Daily!$C:$C,"ATM"),(SUMIFS(Daily!$V:$V,Daily!$G:$G,5,Daily!$I:$I,{"수리완료"},Daily!$C:$C,"ATM")+SUMIFS(Daily!$V:$V,Daily!$G:$G,5,Daily!$I:$I,{"외주수리완료"},Daily!$C:$C,"ATM"))/$R$3)</f>
        <v>0</v>
      </c>
      <c r="M10" s="21">
        <f>SUMIFS(Daily!$R:$R,Daily!$G:$G,5,Daily!$I:$I,{"수리완료"},Daily!$C:$C,"ATJ")+SUMIFS(Daily!$R:$R,Daily!$G:$G,5,Daily!$I:$I,{"외주수리완료"},Daily!$C:$C,"ATJ")</f>
        <v>0</v>
      </c>
      <c r="N10" s="117">
        <f>IF($R$2="K\",SUMIFS(Daily!$V:$V,Daily!$G:$G,5,Daily!$I:$I,{"수리완료"},Daily!$C:$C,"ATJ")+SUMIFS(Daily!$V:$V,Daily!$G:$G,5,Daily!$I:$I,{"외주수리완료"},Daily!$C:$C,"ATJ"),(SUMIFS(Daily!$V:$V,Daily!$G:$G,5,Daily!$I:$I,{"수리완료"},Daily!$C:$C,"ATJ")+SUMIFS(Daily!$V:$V,Daily!$G:$G,5,Daily!$I:$I,{"외주수리완료"},Daily!$C:$C,"ATJ"))/$R$3)</f>
        <v>0</v>
      </c>
      <c r="O10" s="21">
        <f>SUMIFS(Daily!$R:$R,Daily!$G:$G,5,Daily!$I:$I,{"*수리완료"},Daily!$C:$C,"ATEP")</f>
        <v>3</v>
      </c>
      <c r="P10" s="117">
        <f>IF($R$2="K\",SUMIFS(Daily!$V:$V,Daily!$G:$G,5,Daily!$I:$I,{"수리완료"},Daily!$C:$C,"ATEP")+SUMIFS(Daily!$V:$V,Daily!$G:$G,5,Daily!$I:$I,{"외주수리완료"},Daily!$C:$C,"ATEP"),(SUMIFS(Daily!$V:$V,Daily!$G:$G,5,Daily!$I:$I,{"수리완료"},Daily!$C:$C,"ATEP")+SUMIFS(Daily!$V:$V,Daily!$G:$G,5,Daily!$I:$I,{"외주수리완료"},Daily!$C:$C,"ATEP"))/$R$3)</f>
        <v>9.3504545454545447</v>
      </c>
      <c r="Q10" s="22">
        <f t="shared" si="0"/>
        <v>159</v>
      </c>
      <c r="R10" s="119">
        <f t="shared" si="1"/>
        <v>134.95090909090908</v>
      </c>
      <c r="T10" s="89" t="s">
        <v>28</v>
      </c>
      <c r="U10" s="96">
        <f>COUNTIF(Daily!C:C, T10)-COUNTIFS(Daily!C:C, T10, Daily!I:I, "Other")</f>
        <v>0</v>
      </c>
      <c r="V10" s="90">
        <f>COUNTIFS(Daily!C:C, T10, Daily!I:I, "수리완료")+COUNTIFS(Daily!C:C, T10, Daily!I:I, "외주수리완료")</f>
        <v>0</v>
      </c>
      <c r="W10" s="90">
        <f>COUNTIFS(Daily!C:C, T10, Daily!I:I, "수리불가")+COUNTIFS(Daily!C:C, T10, Daily!I:I, "외주수리불가")+COUNTIFS(Daily!C:C, T10, Daily!I:I, "폐기")</f>
        <v>0</v>
      </c>
      <c r="X10" s="90">
        <v>0</v>
      </c>
      <c r="Y10" s="90">
        <f>COUNTIFS(Daily!C:C, T10, Daily!I:I, "수리중")+COUNTIFS(Daily!C:C, T10, Daily!I:I, "외주수리중")</f>
        <v>0</v>
      </c>
      <c r="Z10" s="91">
        <f>(SUMIFS(Daily!V:V, Daily!C:C, T10, Daily!I:I, "수리완료")+SUMIFS(Daily!V:V, Daily!C:C, T10, Daily!I:I, "외주수리완료"))/$Z$2</f>
        <v>0</v>
      </c>
    </row>
    <row r="11" spans="2:26" ht="19.5" thickBot="1">
      <c r="B11" s="20" t="s">
        <v>63</v>
      </c>
      <c r="C11" s="21">
        <f>SUMPRODUCT(SUMIFS(Daily!$R:$R,Daily!$G:$G,"6",Daily!$C:$C,"ATK",Daily!$I:$I,"수리완료")) + SUMPRODUCT(SUMIFS(Daily!$R:$R,Daily!$G:$G,"6",Daily!$C:$C,"ATK",Daily!$I:$I,"외주수리완료"))</f>
        <v>164</v>
      </c>
      <c r="D11" s="117">
        <f>IF($R$2="K\",(SUMPRODUCT(SUMIFS(Daily!$V:$V,Daily!$G:$G,"6",Daily!$C:$C,"ATK",Daily!$I:$I,"수리완료")) + SUMPRODUCT(SUMIFS(Daily!$V:$V,Daily!$G:$G,"6",Daily!$C:$C,"ATK",Daily!$I:$I,"외주수리완료"))),(SUMPRODUCT(SUMIFS(Daily!$V:$V,Daily!$G:$G,"6",Daily!$C:$C,"ATK",Daily!$I:$I,"수리완료")) + SUMPRODUCT(SUMIFS(Daily!$V:$V,Daily!$G:$G,"6",Daily!$C:$C,"ATK",Daily!$I:$I,"외주수리완료")))/$R$3)</f>
        <v>231.89181818181819</v>
      </c>
      <c r="E11" s="21">
        <f>SUMIFS(Daily!$R:$R,Daily!$G:$G,6,Daily!$I:$I,{"수리완료"},Daily!$C:$C,"ATP")+SUMIFS(Daily!$R:$R,Daily!$G:$G,6,Daily!$I:$I,{"외주수리완료"},Daily!$C:$C,"ATP")</f>
        <v>3</v>
      </c>
      <c r="F11" s="117">
        <f>IF($R$2="K\",SUMIFS(Daily!$V:$V,Daily!$G:$G,6,Daily!$I:$I,{"수리완료"},Daily!$C:$C,"ATP")+SUMIFS(Daily!$V:$V,Daily!$G:$G,6,Daily!$I:$I,{"외주수리완료"},Daily!$C:$C,"ATP"),(SUMIFS(Daily!$V:$V,Daily!$G:$G,6,Daily!$I:$I,{"수리완료"},Daily!$C:$C,"ATP")+SUMIFS(Daily!$V:$V,Daily!$G:$G,6,Daily!$I:$I,{"외주수리완료"},Daily!$C:$C,"ATP"))/$R$3)</f>
        <v>3.8772727272727274</v>
      </c>
      <c r="G11" s="21">
        <f>SUMIFS(Daily!$R:$R,Daily!$G:$G,6,Daily!$I:$I,{"수리완료"},Daily!$C:$C,"ATC")+SUMIFS(Daily!$R:$R,Daily!$G:$G,6,Daily!$I:$I,{"외주수리완료"},Daily!$C:$C,"ATC")</f>
        <v>0</v>
      </c>
      <c r="H11" s="117">
        <f>IF($R$2="K\",SUMIFS(Daily!$V:$V,Daily!$G:$G,6,Daily!$I:$I,{"수리완료"},Daily!$C:$C,"ATC")+SUMIFS(Daily!$V:$V,Daily!$G:$G,6,Daily!$I:$I,{"외주수리완료"},Daily!$C:$C,"ATC"),(SUMIFS(Daily!$V:$V,Daily!$G:$G,6,Daily!$I:$I,{"수리완료"},Daily!$C:$C,"ATC")+SUMIFS(Daily!$V:$V,Daily!$G:$G,6,Daily!$I:$I,{"외주수리완료"},Daily!$C:$C,"ATC"))/$R$3)</f>
        <v>0</v>
      </c>
      <c r="I11" s="21">
        <f>SUMIFS(Daily!$R:$R,Daily!$G:$G,6,Daily!$I:$I,{"수리완료"},Daily!$C:$C,"ATT")+SUMIFS(Daily!$R:$R,Daily!$G:$G,6,Daily!$I:$I,{"외주수리완료"},Daily!$C:$C,"ATT")</f>
        <v>0</v>
      </c>
      <c r="J11" s="117">
        <f>IF($R$2="K\",SUMIFS(Daily!$V:$V,Daily!$G:$G,6,Daily!$I:$I,{"수리완료"},Daily!$C:$C,"ATT")+SUMIFS(Daily!$V:$V,Daily!$G:$G,6,Daily!$I:$I,{"외주수리완료"},Daily!$C:$C,"ATT"),(SUMIFS(Daily!$V:$V,Daily!$G:$G,6,Daily!$I:$I,{"수리완료"},Daily!$C:$C,"ATT")+SUMIFS(Daily!$V:$V,Daily!$G:$G,6,Daily!$I:$I,{"외주수리완료"},Daily!$C:$C,"ATT"))/$R$3)</f>
        <v>0</v>
      </c>
      <c r="K11" s="21">
        <f>SUMIFS(Daily!$R:$R,Daily!$G:$G,6,Daily!$I:$I,{"수리완료"},Daily!$C:$C,"ATM")+SUMIFS(Daily!$R:$R,Daily!$G:$G,6,Daily!$I:$I,{"외주수리완료"},Daily!$C:$C,"ATM")</f>
        <v>0</v>
      </c>
      <c r="L11" s="117">
        <f>IF($R$2="K\",SUMIFS(Daily!$V:$V,Daily!$G:$G,6,Daily!$I:$I,{"수리완료"},Daily!$C:$C,"ATM")+SUMIFS(Daily!$V:$V,Daily!$G:$G,6,Daily!$I:$I,{"외주수리완료"},Daily!$C:$C,"ATM"),(SUMIFS(Daily!$V:$V,Daily!$G:$G,6,Daily!$I:$I,{"수리완료"},Daily!$C:$C,"ATM")+SUMIFS(Daily!$V:$V,Daily!$G:$G,6,Daily!$I:$I,{"외주수리완료"},Daily!$C:$C,"ATM"))/$R$3)</f>
        <v>0</v>
      </c>
      <c r="M11" s="21">
        <f>SUMIFS(Daily!$R:$R,Daily!$G:$G,6,Daily!$I:$I,{"수리완료"},Daily!$C:$C,"ATJ")+SUMIFS(Daily!$R:$R,Daily!$G:$G,6,Daily!$I:$I,{"외주수리완료"},Daily!$C:$C,"ATJ")</f>
        <v>0</v>
      </c>
      <c r="N11" s="117">
        <f>IF($R$2="K\",SUMIFS(Daily!$V:$V,Daily!$G:$G,6,Daily!$I:$I,{"수리완료"},Daily!$C:$C,"ATJ")+SUMIFS(Daily!$V:$V,Daily!$G:$G,6,Daily!$I:$I,{"외주수리완료"},Daily!$C:$C,"ATJ"),(SUMIFS(Daily!$V:$V,Daily!$G:$G,6,Daily!$I:$I,{"수리완료"},Daily!$C:$C,"ATJ")+SUMIFS(Daily!$V:$V,Daily!$G:$G,6,Daily!$I:$I,{"외주수리완료"},Daily!$C:$C,"ATJ"))/$R$3)</f>
        <v>0</v>
      </c>
      <c r="O11" s="21">
        <f>SUMIFS(Daily!$R:$R,Daily!$G:$G,6,Daily!$I:$I,{"*수리완료"},Daily!$C:$C,"ATEP")</f>
        <v>0</v>
      </c>
      <c r="P11" s="117">
        <f>IF($R$2="K\",SUMIFS(Daily!$V:$V,Daily!$G:$G,6,Daily!$I:$I,{"수리완료"},Daily!$C:$C,"ATEP")+SUMIFS(Daily!$V:$V,Daily!$G:$G,6,Daily!$I:$I,{"외주수리완료"},Daily!$C:$C,"ATEP"),(SUMIFS(Daily!$V:$V,Daily!$G:$G,6,Daily!$I:$I,{"수리완료"},Daily!$C:$C,"ATEP")+SUMIFS(Daily!$V:$V,Daily!$G:$G,6,Daily!$I:$I,{"외주수리완료"},Daily!$C:$C,"ATEP"))/$R$3)</f>
        <v>0</v>
      </c>
      <c r="Q11" s="22">
        <f t="shared" si="0"/>
        <v>167</v>
      </c>
      <c r="R11" s="119">
        <f t="shared" si="1"/>
        <v>235.76909090909092</v>
      </c>
      <c r="T11" s="92" t="s">
        <v>106</v>
      </c>
      <c r="U11" s="97">
        <f>COUNTIF(Daily!C:C, T11)-COUNTIFS(Daily!C:C, T11, Daily!I:I, "Other")</f>
        <v>3</v>
      </c>
      <c r="V11" s="93">
        <f>COUNTIFS(Daily!C:C, T11, Daily!I:I, "수리완료")+COUNTIFS(Daily!C:C, T11, Daily!I:I, "외주수리완료")</f>
        <v>3</v>
      </c>
      <c r="W11" s="93">
        <f>COUNTIFS(Daily!C:C, T11, Daily!I:I, "수리불가")+COUNTIFS(Daily!C:C, T11, Daily!I:I, "외주수리불가")+COUNTIFS(Daily!C:C, T11, Daily!I:I, "폐기")</f>
        <v>0</v>
      </c>
      <c r="X11" s="94">
        <v>0</v>
      </c>
      <c r="Y11" s="93">
        <f>COUNTIFS(Daily!C:C, T11, Daily!I:I, "수리중")+COUNTIFS(Daily!C:C, T11, Daily!I:I, "외주수리중")</f>
        <v>0</v>
      </c>
      <c r="Z11" s="95">
        <f>(SUMIFS(Daily!V:V, Daily!C:C, T11, Daily!I:I, "수리완료")+SUMIFS(Daily!V:V, Daily!C:C, T11, Daily!I:I, "외주수리완료"))/$Z$2</f>
        <v>9.3504545454545447</v>
      </c>
    </row>
    <row r="12" spans="2:26" ht="19.5" thickBot="1">
      <c r="B12" s="20" t="s">
        <v>48</v>
      </c>
      <c r="C12" s="21">
        <f>SUMPRODUCT(SUMIFS(Daily!$R:$R,Daily!$G:$G,"7",Daily!$C:$C,"ATK",Daily!$I:$I,"수리완료")) + SUMPRODUCT(SUMIFS(Daily!$R:$R,Daily!$G:$G,"7",Daily!$C:$C,"ATK",Daily!$I:$I,"외주수리완료"))</f>
        <v>208</v>
      </c>
      <c r="D12" s="117">
        <f>IF($R$2="K\",(SUMPRODUCT(SUMIFS(Daily!$V:$V,Daily!$G:$G,"7",Daily!$C:$C,"ATK",Daily!$I:$I,"수리완료")) + SUMPRODUCT(SUMIFS(Daily!$V:$V,Daily!$G:$G,"7",Daily!$C:$C,"ATK",Daily!$I:$I,"외주수리완료"))),(SUMPRODUCT(SUMIFS(Daily!$V:$V,Daily!$G:$G,"7",Daily!$C:$C,"ATK",Daily!$I:$I,"수리완료")) + SUMPRODUCT(SUMIFS(Daily!$V:$V,Daily!$G:$G,"7",Daily!$C:$C,"ATK",Daily!$I:$I,"외주수리완료")))/$R$3)</f>
        <v>150.79954545454547</v>
      </c>
      <c r="E12" s="21">
        <f>SUMIFS(Daily!$R:$R,Daily!$G:$G,7,Daily!$I:$I,{"수리완료"},Daily!$C:$C,"ATP")+SUMIFS(Daily!$R:$R,Daily!$G:$G,7,Daily!$I:$I,{"외주수리완료"},Daily!$C:$C,"ATP")</f>
        <v>7</v>
      </c>
      <c r="F12" s="117">
        <f>IF($R$2="K\",SUMIFS(Daily!$V:$V,Daily!$G:$G,7,Daily!$I:$I,{"수리완료"},Daily!$C:$C,"ATP")+SUMIFS(Daily!$V:$V,Daily!$G:$G,7,Daily!$I:$I,{"외주수리완료"},Daily!$C:$C,"ATP"),(SUMIFS(Daily!$V:$V,Daily!$G:$G,7,Daily!$I:$I,{"수리완료"},Daily!$C:$C,"ATP")+SUMIFS(Daily!$V:$V,Daily!$G:$G,7,Daily!$I:$I,{"외주수리완료"},Daily!$C:$C,"ATP"))/$R$3)</f>
        <v>10.472727272727273</v>
      </c>
      <c r="G12" s="21">
        <f>SUMIFS(Daily!$R:$R,Daily!$G:$G,7,Daily!$I:$I,{"수리완료"},Daily!$C:$C,"ATC")+SUMIFS(Daily!$R:$R,Daily!$G:$G,7,Daily!$I:$I,{"외주수리완료"},Daily!$C:$C,"ATC")</f>
        <v>0</v>
      </c>
      <c r="H12" s="117">
        <f>IF($R$2="K\",SUMIFS(Daily!$V:$V,Daily!$G:$G,7,Daily!$I:$I,{"수리완료"},Daily!$C:$C,"ATC")+SUMIFS(Daily!$V:$V,Daily!$G:$G,7,Daily!$I:$I,{"외주수리완료"},Daily!$C:$C,"ATC"),(SUMIFS(Daily!$V:$V,Daily!$G:$G,7,Daily!$I:$I,{"수리완료"},Daily!$C:$C,"ATC")+SUMIFS(Daily!$V:$V,Daily!$G:$G,7,Daily!$I:$I,{"외주수리완료"},Daily!$C:$C,"ATC"))/$R$3)</f>
        <v>0</v>
      </c>
      <c r="I12" s="21">
        <f>SUMIFS(Daily!$R:$R,Daily!$G:$G,7,Daily!$I:$I,{"수리완료"},Daily!$C:$C,"ATT")+SUMIFS(Daily!$R:$R,Daily!$G:$G,7,Daily!$I:$I,{"외주수리완료"},Daily!$C:$C,"ATT")</f>
        <v>0</v>
      </c>
      <c r="J12" s="117">
        <f>IF($R$2="K\",SUMIFS(Daily!$V:$V,Daily!$G:$G,7,Daily!$I:$I,{"수리완료"},Daily!$C:$C,"ATT")+SUMIFS(Daily!$V:$V,Daily!$G:$G,7,Daily!$I:$I,{"외주수리완료"},Daily!$C:$C,"ATT"),(SUMIFS(Daily!$V:$V,Daily!$G:$G,7,Daily!$I:$I,{"수리완료"},Daily!$C:$C,"ATT")+SUMIFS(Daily!$V:$V,Daily!$G:$G,7,Daily!$I:$I,{"외주수리완료"},Daily!$C:$C,"ATT"))/$R$3)</f>
        <v>0</v>
      </c>
      <c r="K12" s="21">
        <f>SUMIFS(Daily!$R:$R,Daily!$G:$G,7,Daily!$I:$I,{"수리완료"},Daily!$C:$C,"ATM")+SUMIFS(Daily!$R:$R,Daily!$G:$G,7,Daily!$I:$I,{"외주수리완료"},Daily!$C:$C,"ATM")</f>
        <v>0</v>
      </c>
      <c r="L12" s="117">
        <f>IF($R$2="K\",SUMIFS(Daily!$V:$V,Daily!$G:$G,7,Daily!$I:$I,{"수리완료"},Daily!$C:$C,"ATM")+SUMIFS(Daily!$V:$V,Daily!$G:$G,7,Daily!$I:$I,{"외주수리완료"},Daily!$C:$C,"ATM"),(SUMIFS(Daily!$V:$V,Daily!$G:$G,7,Daily!$I:$I,{"수리완료"},Daily!$C:$C,"ATM")+SUMIFS(Daily!$V:$V,Daily!$G:$G,7,Daily!$I:$I,{"외주수리완료"},Daily!$C:$C,"ATM"))/$R$3)</f>
        <v>0</v>
      </c>
      <c r="M12" s="21">
        <f>SUMIFS(Daily!$R:$R,Daily!$G:$G,7,Daily!$I:$I,{"수리완료"},Daily!$C:$C,"ATJ")+SUMIFS(Daily!$R:$R,Daily!$G:$G,7,Daily!$I:$I,{"외주수리완료"},Daily!$C:$C,"ATJ")</f>
        <v>0</v>
      </c>
      <c r="N12" s="117">
        <f>IF($R$2="K\",SUMIFS(Daily!$V:$V,Daily!$G:$G,7,Daily!$I:$I,{"수리완료"},Daily!$C:$C,"ATJ")+SUMIFS(Daily!$V:$V,Daily!$G:$G,7,Daily!$I:$I,{"외주수리완료"},Daily!$C:$C,"ATJ"),(SUMIFS(Daily!$V:$V,Daily!$G:$G,7,Daily!$I:$I,{"수리완료"},Daily!$C:$C,"ATJ")+SUMIFS(Daily!$V:$V,Daily!$G:$G,7,Daily!$I:$I,{"외주수리완료"},Daily!$C:$C,"ATJ"))/$R$3)</f>
        <v>0</v>
      </c>
      <c r="O12" s="21">
        <f>SUMIFS(Daily!$R:$R,Daily!$G:$G,7,Daily!$I:$I,{"*수리완료"},Daily!$C:$C,"ATEP")</f>
        <v>0</v>
      </c>
      <c r="P12" s="117">
        <f>IF($R$2="K\",SUMIFS(Daily!$V:$V,Daily!$G:$G,7,Daily!$I:$I,{"수리완료"},Daily!$C:$C,"ATEP")+SUMIFS(Daily!$V:$V,Daily!$G:$G,7,Daily!$I:$I,{"외주수리완료"},Daily!$C:$C,"ATEP"),(SUMIFS(Daily!$V:$V,Daily!$G:$G,7,Daily!$I:$I,{"수리완료"},Daily!$C:$C,"ATEP")+SUMIFS(Daily!$V:$V,Daily!$G:$G,7,Daily!$I:$I,{"외주수리완료"},Daily!$C:$C,"ATEP"))/$R$3)</f>
        <v>0</v>
      </c>
      <c r="Q12" s="22">
        <f t="shared" si="0"/>
        <v>215</v>
      </c>
      <c r="R12" s="119">
        <f t="shared" si="1"/>
        <v>161.27227272727274</v>
      </c>
      <c r="T12" s="100" t="s">
        <v>5385</v>
      </c>
      <c r="U12" s="101">
        <f>COUNTIF(Daily!C:C, T12)-COUNTIFS(Daily!C:C, T12, Daily!I:I, "Other")</f>
        <v>5</v>
      </c>
      <c r="V12" s="102">
        <f>COUNTIFS(Daily!C:C, T12, Daily!I:I, "수리완료")+COUNTIFS(Daily!C:C, T12, Daily!I:I, "외주수리완료")</f>
        <v>5</v>
      </c>
      <c r="W12" s="102">
        <f>COUNTIFS(Daily!C:C, T12, Daily!I:I, "수리불가")+COUNTIFS(Daily!C:C, T12, Daily!I:I, "외주수리불가")+COUNTIFS(Daily!C:C, T12, Daily!I:I, "폐기")</f>
        <v>0</v>
      </c>
      <c r="X12" s="102">
        <v>0</v>
      </c>
      <c r="Y12" s="102">
        <f>COUNTIFS(Daily!C:C, T12, Daily!I:I, "수리중")+COUNTIFS(Daily!C:C, T12, Daily!I:I, "외주수리중")</f>
        <v>0</v>
      </c>
      <c r="Z12" s="103">
        <f>(SUMIFS(Daily!V:V, Daily!C:C, T12, Daily!I:I, "수리완료")+SUMIFS(Daily!V:V, Daily!C:C, T12, Daily!I:I, "외주수리완료"))/$Z$2</f>
        <v>6.0904545454545458</v>
      </c>
    </row>
    <row r="13" spans="2:26" ht="19.5" thickBot="1">
      <c r="B13" s="20" t="s">
        <v>64</v>
      </c>
      <c r="C13" s="21">
        <f>SUMPRODUCT(SUMIFS(Daily!$R:$R,Daily!$G:$G,"8",Daily!$C:$C,"ATK",Daily!$I:$I,"수리완료")) + SUMPRODUCT(SUMIFS(Daily!$R:$R,Daily!$G:$G,"8",Daily!$C:$C,"ATK",Daily!$I:$I,"외주수리완료"))</f>
        <v>140</v>
      </c>
      <c r="D13" s="117">
        <f>IF($R$2="K\",(SUMPRODUCT(SUMIFS(Daily!$V:$V,Daily!$G:$G,"8",Daily!$C:$C,"ATK",Daily!$I:$I,"수리완료")) + SUMPRODUCT(SUMIFS(Daily!$V:$V,Daily!$G:$G,"8",Daily!$C:$C,"ATK",Daily!$I:$I,"외주수리완료"))),(SUMPRODUCT(SUMIFS(Daily!$V:$V,Daily!$G:$G,"8",Daily!$C:$C,"ATK",Daily!$I:$I,"수리완료")) + SUMPRODUCT(SUMIFS(Daily!$V:$V,Daily!$G:$G,"8",Daily!$C:$C,"ATK",Daily!$I:$I,"외주수리완료")))/$R$3)</f>
        <v>160.70863636363637</v>
      </c>
      <c r="E13" s="21">
        <f>SUMIFS(Daily!$R:$R,Daily!$G:$G,8,Daily!$I:$I,{"수리완료"},Daily!$C:$C,"ATP")+SUMIFS(Daily!$R:$R,Daily!$G:$G,8,Daily!$I:$I,{"외주수리완료"},Daily!$C:$C,"ATP")</f>
        <v>0</v>
      </c>
      <c r="F13" s="117">
        <f>IF($R$2="K\",SUMIFS(Daily!$V:$V,Daily!$G:$G,8,Daily!$I:$I,{"수리완료"},Daily!$C:$C,"ATP")+SUMIFS(Daily!$V:$V,Daily!$G:$G,8,Daily!$I:$I,{"외주수리완료"},Daily!$C:$C,"ATP"),(SUMIFS(Daily!$V:$V,Daily!$G:$G,8,Daily!$I:$I,{"수리완료"},Daily!$C:$C,"ATP")+SUMIFS(Daily!$V:$V,Daily!$G:$G,8,Daily!$I:$I,{"외주수리완료"},Daily!$C:$C,"ATP"))/$R$3)</f>
        <v>0</v>
      </c>
      <c r="G13" s="21">
        <f>SUMIFS(Daily!$R:$R,Daily!$G:$G,8,Daily!$I:$I,{"수리완료"},Daily!$C:$C,"ATC")+SUMIFS(Daily!$R:$R,Daily!$G:$G,8,Daily!$I:$I,{"외주수리완료"},Daily!$C:$C,"ATC")</f>
        <v>0</v>
      </c>
      <c r="H13" s="117">
        <f>IF($R$2="K\",SUMIFS(Daily!$V:$V,Daily!$G:$G,8,Daily!$I:$I,{"수리완료"},Daily!$C:$C,"ATC")+SUMIFS(Daily!$V:$V,Daily!$G:$G,8,Daily!$I:$I,{"외주수리완료"},Daily!$C:$C,"ATC"),(SUMIFS(Daily!$V:$V,Daily!$G:$G,8,Daily!$I:$I,{"수리완료"},Daily!$C:$C,"ATC")+SUMIFS(Daily!$V:$V,Daily!$G:$G,8,Daily!$I:$I,{"외주수리완료"},Daily!$C:$C,"ATC"))/$R$3)</f>
        <v>0</v>
      </c>
      <c r="I13" s="21">
        <f>SUMIFS(Daily!$R:$R,Daily!$G:$G,8,Daily!$I:$I,{"수리완료"},Daily!$C:$C,"ATT")+SUMIFS(Daily!$R:$R,Daily!$G:$G,8,Daily!$I:$I,{"외주수리완료"},Daily!$C:$C,"ATT")</f>
        <v>0</v>
      </c>
      <c r="J13" s="117">
        <f>IF($R$2="K\",SUMIFS(Daily!$V:$V,Daily!$G:$G,8,Daily!$I:$I,{"수리완료"},Daily!$C:$C,"ATT")+SUMIFS(Daily!$V:$V,Daily!$G:$G,8,Daily!$I:$I,{"외주수리완료"},Daily!$C:$C,"ATT"),(SUMIFS(Daily!$V:$V,Daily!$G:$G,8,Daily!$I:$I,{"수리완료"},Daily!$C:$C,"ATT")+SUMIFS(Daily!$V:$V,Daily!$G:$G,8,Daily!$I:$I,{"외주수리완료"},Daily!$C:$C,"ATT"))/$R$3)</f>
        <v>0</v>
      </c>
      <c r="K13" s="21">
        <f>SUMIFS(Daily!$R:$R,Daily!$G:$G,8,Daily!$I:$I,{"수리완료"},Daily!$C:$C,"ATM")+SUMIFS(Daily!$R:$R,Daily!$G:$G,8,Daily!$I:$I,{"외주수리완료"},Daily!$C:$C,"ATM")</f>
        <v>0</v>
      </c>
      <c r="L13" s="117">
        <f>IF($R$2="K\",SUMIFS(Daily!$V:$V,Daily!$G:$G,8,Daily!$I:$I,{"수리완료"},Daily!$C:$C,"ATM")+SUMIFS(Daily!$V:$V,Daily!$G:$G,8,Daily!$I:$I,{"외주수리완료"},Daily!$C:$C,"ATM"),(SUMIFS(Daily!$V:$V,Daily!$G:$G,8,Daily!$I:$I,{"수리완료"},Daily!$C:$C,"ATM")+SUMIFS(Daily!$V:$V,Daily!$G:$G,8,Daily!$I:$I,{"외주수리완료"},Daily!$C:$C,"ATM"))/$R$3)</f>
        <v>0</v>
      </c>
      <c r="M13" s="21">
        <f>SUMIFS(Daily!$R:$R,Daily!$G:$G,8,Daily!$I:$I,{"수리완료"},Daily!$C:$C,"ATJ")+SUMIFS(Daily!$R:$R,Daily!$G:$G,8,Daily!$I:$I,{"외주수리완료"},Daily!$C:$C,"ATJ")</f>
        <v>0</v>
      </c>
      <c r="N13" s="117">
        <f>IF($R$2="K\",SUMIFS(Daily!$V:$V,Daily!$G:$G,8,Daily!$I:$I,{"수리완료"},Daily!$C:$C,"ATJ")+SUMIFS(Daily!$V:$V,Daily!$G:$G,8,Daily!$I:$I,{"외주수리완료"},Daily!$C:$C,"ATJ"),(SUMIFS(Daily!$V:$V,Daily!$G:$G,8,Daily!$I:$I,{"수리완료"},Daily!$C:$C,"ATJ")+SUMIFS(Daily!$V:$V,Daily!$G:$G,8,Daily!$I:$I,{"외주수리완료"},Daily!$C:$C,"ATJ"))/$R$3)</f>
        <v>0</v>
      </c>
      <c r="O13" s="21">
        <f>SUMIFS(Daily!$R:$R,Daily!$G:$G,8,Daily!$I:$I,{"*수리완료"},Daily!$C:$C,"ATEP")</f>
        <v>0</v>
      </c>
      <c r="P13" s="117">
        <f>IF($R$2="K\",SUMIFS(Daily!$V:$V,Daily!$G:$G,8,Daily!$I:$I,{"수리완료"},Daily!$C:$C,"ATEP")+SUMIFS(Daily!$V:$V,Daily!$G:$G,8,Daily!$I:$I,{"외주수리완료"},Daily!$C:$C,"ATEP"),(SUMIFS(Daily!$V:$V,Daily!$G:$G,8,Daily!$I:$I,{"수리완료"},Daily!$C:$C,"ATEP")+SUMIFS(Daily!$V:$V,Daily!$G:$G,8,Daily!$I:$I,{"외주수리완료"},Daily!$C:$C,"ATEP"))/$R$3)</f>
        <v>0</v>
      </c>
      <c r="Q13" s="22">
        <f t="shared" si="0"/>
        <v>140</v>
      </c>
      <c r="R13" s="119">
        <f t="shared" si="1"/>
        <v>160.70863636363637</v>
      </c>
      <c r="T13" s="104" t="s">
        <v>77</v>
      </c>
      <c r="U13" s="105">
        <f t="shared" ref="U13:Z13" si="2">SUM(U6:U12)</f>
        <v>1665</v>
      </c>
      <c r="V13" s="106">
        <f t="shared" si="2"/>
        <v>1580</v>
      </c>
      <c r="W13" s="106">
        <f t="shared" si="2"/>
        <v>85</v>
      </c>
      <c r="X13" s="106">
        <f t="shared" si="2"/>
        <v>0</v>
      </c>
      <c r="Y13" s="106">
        <f t="shared" si="2"/>
        <v>0</v>
      </c>
      <c r="Z13" s="184">
        <f t="shared" si="2"/>
        <v>1932.8012909090912</v>
      </c>
    </row>
    <row r="14" spans="2:26" ht="17.25" thickBot="1">
      <c r="B14" s="20" t="s">
        <v>65</v>
      </c>
      <c r="C14" s="21">
        <f>SUMPRODUCT(SUMIFS(Daily!$R:$R,Daily!$G:$G,"9",Daily!$C:$C,"ATK",Daily!$I:$I,"수리완료")) + SUMPRODUCT(SUMIFS(Daily!$R:$R,Daily!$G:$G,"9",Daily!$C:$C,"ATK",Daily!$I:$I,"외주수리완료"))</f>
        <v>118</v>
      </c>
      <c r="D14" s="117">
        <f>IF($R$2="K\",(SUMPRODUCT(SUMIFS(Daily!$V:$V,Daily!$G:$G,"9",Daily!$C:$C,"ATK",Daily!$I:$I,"수리완료")) + SUMPRODUCT(SUMIFS(Daily!$V:$V,Daily!$G:$G,"9",Daily!$C:$C,"ATK",Daily!$I:$I,"외주수리완료"))),(SUMPRODUCT(SUMIFS(Daily!$V:$V,Daily!$G:$G,"9",Daily!$C:$C,"ATK",Daily!$I:$I,"수리완료")) + SUMPRODUCT(SUMIFS(Daily!$V:$V,Daily!$G:$G,"9",Daily!$C:$C,"ATK",Daily!$I:$I,"외주수리완료")))/$R$3)</f>
        <v>128.21545454545455</v>
      </c>
      <c r="E14" s="21">
        <f>SUMIFS(Daily!$R:$R,Daily!$G:$G,9,Daily!$I:$I,{"수리완료"},Daily!$C:$C,"ATP")+SUMIFS(Daily!$R:$R,Daily!$G:$G,9,Daily!$I:$I,{"외주수리완료"},Daily!$C:$C,"ATP")</f>
        <v>4</v>
      </c>
      <c r="F14" s="117">
        <f>IF($R$2="K\",SUMIFS(Daily!$V:$V,Daily!$G:$G,9,Daily!$I:$I,{"수리완료"},Daily!$C:$C,"ATP")+SUMIFS(Daily!$V:$V,Daily!$G:$G,9,Daily!$I:$I,{"외주수리완료"},Daily!$C:$C,"ATP"),(SUMIFS(Daily!$V:$V,Daily!$G:$G,9,Daily!$I:$I,{"수리완료"},Daily!$C:$C,"ATP")+SUMIFS(Daily!$V:$V,Daily!$G:$G,9,Daily!$I:$I,{"외주수리완료"},Daily!$C:$C,"ATP"))/$R$3)</f>
        <v>6.6583272727272726</v>
      </c>
      <c r="G14" s="21">
        <f>SUMIFS(Daily!$R:$R,Daily!$G:$G,9,Daily!$I:$I,{"수리완료"},Daily!$C:$C,"ATC")+SUMIFS(Daily!$R:$R,Daily!$G:$G,9,Daily!$I:$I,{"외주수리완료"},Daily!$C:$C,"ATC")</f>
        <v>0</v>
      </c>
      <c r="H14" s="117">
        <f>IF($R$2="K\",SUMIFS(Daily!$V:$V,Daily!$G:$G,9,Daily!$I:$I,{"수리완료"},Daily!$C:$C,"ATC")+SUMIFS(Daily!$V:$V,Daily!$G:$G,9,Daily!$I:$I,{"외주수리완료"},Daily!$C:$C,"ATC"),(SUMIFS(Daily!$V:$V,Daily!$G:$G,9,Daily!$I:$I,{"수리완료"},Daily!$C:$C,"ATC")+SUMIFS(Daily!$V:$V,Daily!$G:$G,9,Daily!$I:$I,{"외주수리완료"},Daily!$C:$C,"ATC"))/$R$3)</f>
        <v>0</v>
      </c>
      <c r="I14" s="21">
        <f>SUMIFS(Daily!$R:$R,Daily!$G:$G,9,Daily!$I:$I,{"수리완료"},Daily!$C:$C,"ATT")+SUMIFS(Daily!$R:$R,Daily!$G:$G,9,Daily!$I:$I,{"외주수리완료"},Daily!$C:$C,"ATT")</f>
        <v>0</v>
      </c>
      <c r="J14" s="117">
        <f>IF($R$2="K\",SUMIFS(Daily!$V:$V,Daily!$G:$G,9,Daily!$I:$I,{"수리완료"},Daily!$C:$C,"ATT")+SUMIFS(Daily!$V:$V,Daily!$G:$G,9,Daily!$I:$I,{"외주수리완료"},Daily!$C:$C,"ATT"),(SUMIFS(Daily!$V:$V,Daily!$G:$G,9,Daily!$I:$I,{"수리완료"},Daily!$C:$C,"ATT")+SUMIFS(Daily!$V:$V,Daily!$G:$G,9,Daily!$I:$I,{"외주수리완료"},Daily!$C:$C,"ATT"))/$R$3)</f>
        <v>0</v>
      </c>
      <c r="K14" s="21">
        <f>SUMIFS(Daily!$R:$R,Daily!$G:$G,9,Daily!$I:$I,{"수리완료"},Daily!$C:$C,"ATM")+SUMIFS(Daily!$R:$R,Daily!$G:$G,9,Daily!$I:$I,{"외주수리완료"},Daily!$C:$C,"ATM")</f>
        <v>0</v>
      </c>
      <c r="L14" s="117">
        <f>IF($R$2="K\",SUMIFS(Daily!$V:$V,Daily!$G:$G,9,Daily!$I:$I,{"수리완료"},Daily!$C:$C,"ATM")+SUMIFS(Daily!$V:$V,Daily!$G:$G,9,Daily!$I:$I,{"외주수리완료"},Daily!$C:$C,"ATM"),(SUMIFS(Daily!$V:$V,Daily!$G:$G,9,Daily!$I:$I,{"수리완료"},Daily!$C:$C,"ATM")+SUMIFS(Daily!$V:$V,Daily!$G:$G,9,Daily!$I:$I,{"외주수리완료"},Daily!$C:$C,"ATM"))/$R$3)</f>
        <v>0</v>
      </c>
      <c r="M14" s="21">
        <f>SUMIFS(Daily!$R:$R,Daily!$G:$G,9,Daily!$I:$I,{"수리완료"},Daily!$C:$C,"ATJ")+SUMIFS(Daily!$R:$R,Daily!$G:$G,9,Daily!$I:$I,{"외주수리완료"},Daily!$C:$C,"ATJ")</f>
        <v>0</v>
      </c>
      <c r="N14" s="117">
        <f>IF($R$2="K\",SUMIFS(Daily!$V:$V,Daily!$G:$G,9,Daily!$I:$I,{"수리완료"},Daily!$C:$C,"ATJ")+SUMIFS(Daily!$V:$V,Daily!$G:$G,9,Daily!$I:$I,{"외주수리완료"},Daily!$C:$C,"ATJ"),(SUMIFS(Daily!$V:$V,Daily!$G:$G,9,Daily!$I:$I,{"수리완료"},Daily!$C:$C,"ATJ")+SUMIFS(Daily!$V:$V,Daily!$G:$G,9,Daily!$I:$I,{"외주수리완료"},Daily!$C:$C,"ATJ"))/$R$3)</f>
        <v>0</v>
      </c>
      <c r="O14" s="21">
        <f>SUMIFS(Daily!$R:$R,Daily!$G:$G,9,Daily!$I:$I,{"*수리완료"},Daily!$C:$C,"ATEP")</f>
        <v>0</v>
      </c>
      <c r="P14" s="117">
        <f>IF($R$2="K\",SUMIFS(Daily!$V:$V,Daily!$G:$G,9,Daily!$I:$I,{"수리완료"},Daily!$C:$C,"ATEP")+SUMIFS(Daily!$V:$V,Daily!$G:$G,9,Daily!$I:$I,{"외주수리완료"},Daily!$C:$C,"ATEP"),(SUMIFS(Daily!$V:$V,Daily!$G:$G,9,Daily!$I:$I,{"수리완료"},Daily!$C:$C,"ATEP")+SUMIFS(Daily!$V:$V,Daily!$G:$G,9,Daily!$I:$I,{"외주수리완료"},Daily!$C:$C,"ATEP"))/$R$3)</f>
        <v>0</v>
      </c>
      <c r="Q14" s="22">
        <f t="shared" si="0"/>
        <v>122</v>
      </c>
      <c r="R14" s="119">
        <f t="shared" si="1"/>
        <v>134.87378181818181</v>
      </c>
      <c r="W14" s="98"/>
    </row>
    <row r="15" spans="2:26" ht="17.25" thickBot="1">
      <c r="B15" s="20" t="s">
        <v>66</v>
      </c>
      <c r="C15" s="21">
        <f>SUMPRODUCT(SUMIFS(Daily!$R:$R,Daily!$G:$G,"10",Daily!$C:$C,"ATK",Daily!$I:$I,"수리완료")) + SUMPRODUCT(SUMIFS(Daily!$R:$R,Daily!$G:$G,"10",Daily!$C:$C,"ATK",Daily!$I:$I,"외주수리완료"))</f>
        <v>140</v>
      </c>
      <c r="D15" s="117">
        <f>IF($R$2="K\",(SUMPRODUCT(SUMIFS(Daily!$V:$V,Daily!$G:$G,"10",Daily!$C:$C,"ATK",Daily!$I:$I,"수리완료")) + SUMPRODUCT(SUMIFS(Daily!$V:$V,Daily!$G:$G,"10",Daily!$C:$C,"ATK",Daily!$I:$I,"외주수리완료"))),(SUMPRODUCT(SUMIFS(Daily!$V:$V,Daily!$G:$G,"10",Daily!$C:$C,"ATK",Daily!$I:$I,"수리완료")) + SUMPRODUCT(SUMIFS(Daily!$V:$V,Daily!$G:$G,"10",Daily!$C:$C,"ATK",Daily!$I:$I,"외주수리완료")))/$R$3)</f>
        <v>156.56</v>
      </c>
      <c r="E15" s="21">
        <f>SUMIFS(Daily!$R:$R,Daily!$G:$G,10,Daily!$I:$I,{"수리완료"},Daily!$C:$C,"ATP")+SUMIFS(Daily!$R:$R,Daily!$G:$G,10,Daily!$I:$I,{"외주수리완료"},Daily!$C:$C,"ATP")</f>
        <v>9</v>
      </c>
      <c r="F15" s="117">
        <f>IF($R$2="K\",SUMIFS(Daily!$V:$V,Daily!$G:$G,10,Daily!$I:$I,{"수리완료"},Daily!$C:$C,"ATP")+SUMIFS(Daily!$V:$V,Daily!$G:$G,10,Daily!$I:$I,{"외주수리완료"},Daily!$C:$C,"ATP"),(SUMIFS(Daily!$V:$V,Daily!$G:$G,10,Daily!$I:$I,{"수리완료"},Daily!$C:$C,"ATP")+SUMIFS(Daily!$V:$V,Daily!$G:$G,10,Daily!$I:$I,{"외주수리완료"},Daily!$C:$C,"ATP"))/$R$3)</f>
        <v>9.2127272727272729</v>
      </c>
      <c r="G15" s="21">
        <f>SUMIFS(Daily!$R:$R,Daily!$G:$G,10,Daily!$I:$I,{"수리완료"},Daily!$C:$C,"ATC")+SUMIFS(Daily!$R:$R,Daily!$G:$G,10,Daily!$I:$I,{"외주수리완료"},Daily!$C:$C,"ATC")</f>
        <v>0</v>
      </c>
      <c r="H15" s="117">
        <f>IF($R$2="K\",SUMIFS(Daily!$V:$V,Daily!$G:$G,10,Daily!$I:$I,{"수리완료"},Daily!$C:$C,"ATC")+SUMIFS(Daily!$V:$V,Daily!$G:$G,10,Daily!$I:$I,{"외주수리완료"},Daily!$C:$C,"ATC"),(SUMIFS(Daily!$V:$V,Daily!$G:$G,10,Daily!$I:$I,{"수리완료"},Daily!$C:$C,"ATC")+SUMIFS(Daily!$V:$V,Daily!$G:$G,10,Daily!$I:$I,{"외주수리완료"},Daily!$C:$C,"ATC"))/$R$3)</f>
        <v>0</v>
      </c>
      <c r="I15" s="21">
        <f>SUMIFS(Daily!$R:$R,Daily!$G:$G,10,Daily!$I:$I,{"수리완료"},Daily!$C:$C,"ATT")+SUMIFS(Daily!$R:$R,Daily!$G:$G,10,Daily!$I:$I,{"외주수리완료"},Daily!$C:$C,"ATT")</f>
        <v>0</v>
      </c>
      <c r="J15" s="117">
        <f>IF($R$2="K\",SUMIFS(Daily!$V:$V,Daily!$G:$G,10,Daily!$I:$I,{"수리완료"},Daily!$C:$C,"ATT")+SUMIFS(Daily!$V:$V,Daily!$G:$G,10,Daily!$I:$I,{"외주수리완료"},Daily!$C:$C,"ATT"),(SUMIFS(Daily!$V:$V,Daily!$G:$G,10,Daily!$I:$I,{"수리완료"},Daily!$C:$C,"ATT")+SUMIFS(Daily!$V:$V,Daily!$G:$G,10,Daily!$I:$I,{"외주수리완료"},Daily!$C:$C,"ATT"))/$R$3)</f>
        <v>0</v>
      </c>
      <c r="K15" s="21">
        <f>SUMIFS(Daily!$R:$R,Daily!$G:$G,10,Daily!$I:$I,{"수리완료"},Daily!$C:$C,"ATM")+SUMIFS(Daily!$R:$R,Daily!$G:$G,10,Daily!$I:$I,{"외주수리완료"},Daily!$C:$C,"ATM")</f>
        <v>0</v>
      </c>
      <c r="L15" s="117">
        <f>IF($R$2="K\",SUMIFS(Daily!$V:$V,Daily!$G:$G,10,Daily!$I:$I,{"수리완료"},Daily!$C:$C,"ATM")+SUMIFS(Daily!$V:$V,Daily!$G:$G,10,Daily!$I:$I,{"외주수리완료"},Daily!$C:$C,"ATM"),(SUMIFS(Daily!$V:$V,Daily!$G:$G,10,Daily!$I:$I,{"수리완료"},Daily!$C:$C,"ATM")+SUMIFS(Daily!$V:$V,Daily!$G:$G,10,Daily!$I:$I,{"외주수리완료"},Daily!$C:$C,"ATM"))/$R$3)</f>
        <v>0</v>
      </c>
      <c r="M15" s="21">
        <f>SUMIFS(Daily!$R:$R,Daily!$G:$G,10,Daily!$I:$I,{"수리완료"},Daily!$C:$C,"ATJ")+SUMIFS(Daily!$R:$R,Daily!$G:$G,10,Daily!$I:$I,{"외주수리완료"},Daily!$C:$C,"ATJ")</f>
        <v>0</v>
      </c>
      <c r="N15" s="117">
        <f>IF($R$2="K\",SUMIFS(Daily!$V:$V,Daily!$G:$G,10,Daily!$I:$I,{"수리완료"},Daily!$C:$C,"ATJ")+SUMIFS(Daily!$V:$V,Daily!$G:$G,10,Daily!$I:$I,{"외주수리완료"},Daily!$C:$C,"ATJ"),(SUMIFS(Daily!$V:$V,Daily!$G:$G,10,Daily!$I:$I,{"수리완료"},Daily!$C:$C,"ATJ")+SUMIFS(Daily!$V:$V,Daily!$G:$G,10,Daily!$I:$I,{"외주수리완료"},Daily!$C:$C,"ATJ"))/$R$3)</f>
        <v>0</v>
      </c>
      <c r="O15" s="21">
        <f>SUMIFS(Daily!$R:$R,Daily!$G:$G,10,Daily!$I:$I,{"*수리완료"},Daily!$C:$C,"ATEP")</f>
        <v>0</v>
      </c>
      <c r="P15" s="117">
        <f>IF($R$2="K\",SUMIFS(Daily!$V:$V,Daily!$G:$G,10,Daily!$I:$I,{"수리완료"},Daily!$C:$C,"ATEP")+SUMIFS(Daily!$V:$V,Daily!$G:$G,10,Daily!$I:$I,{"외주수리완료"},Daily!$C:$C,"ATEP"),(SUMIFS(Daily!$V:$V,Daily!$G:$G,10,Daily!$I:$I,{"수리완료"},Daily!$C:$C,"ATEP")+SUMIFS(Daily!$V:$V,Daily!$G:$G,10,Daily!$I:$I,{"외주수리완료"},Daily!$C:$C,"ATEP"))/$R$3)</f>
        <v>0</v>
      </c>
      <c r="Q15" s="22">
        <f t="shared" si="0"/>
        <v>149</v>
      </c>
      <c r="R15" s="119">
        <f t="shared" si="1"/>
        <v>165.77272727272728</v>
      </c>
      <c r="U15" s="99"/>
      <c r="Z15" s="88"/>
    </row>
    <row r="16" spans="2:26" ht="17.25" thickBot="1">
      <c r="B16" s="20" t="s">
        <v>67</v>
      </c>
      <c r="C16" s="21">
        <f>SUMPRODUCT(SUMIFS(Daily!$R:$R,Daily!$G:$G,"11",Daily!$C:$C,"ATK",Daily!$I:$I,"수리완료")) + SUMPRODUCT(SUMIFS(Daily!$R:$R,Daily!$G:$G,"11",Daily!$C:$C,"ATK",Daily!$I:$I,"외주수리완료"))</f>
        <v>147</v>
      </c>
      <c r="D16" s="117">
        <f>IF($R$2="K\",(SUMPRODUCT(SUMIFS(Daily!$V:$V,Daily!$G:$G,"11",Daily!$C:$C,"ATK",Daily!$I:$I,"수리완료")) + SUMPRODUCT(SUMIFS(Daily!$V:$V,Daily!$G:$G,"11",Daily!$C:$C,"ATK",Daily!$I:$I,"외주수리완료"))),(SUMPRODUCT(SUMIFS(Daily!$V:$V,Daily!$G:$G,"11",Daily!$C:$C,"ATK",Daily!$I:$I,"수리완료")) + SUMPRODUCT(SUMIFS(Daily!$V:$V,Daily!$G:$G,"11",Daily!$C:$C,"ATK",Daily!$I:$I,"외주수리완료")))/$R$3)</f>
        <v>143.59727272727272</v>
      </c>
      <c r="E16" s="21">
        <f>SUMIFS(Daily!$R:$R,Daily!$G:$G,11,Daily!$I:$I,{"수리완료"},Daily!$C:$C,"ATP")+SUMIFS(Daily!$R:$R,Daily!$G:$G,11,Daily!$I:$I,{"외주수리완료"},Daily!$C:$C,"ATP")</f>
        <v>0</v>
      </c>
      <c r="F16" s="117">
        <f>IF($R$2="K\",SUMIFS(Daily!$V:$V,Daily!$G:$G,11,Daily!$I:$I,{"수리완료"},Daily!$C:$C,"ATP")+SUMIFS(Daily!$V:$V,Daily!$G:$G,11,Daily!$I:$I,{"외주수리완료"},Daily!$C:$C,"ATP"),(SUMIFS(Daily!$V:$V,Daily!$G:$G,11,Daily!$I:$I,{"수리완료"},Daily!$C:$C,"ATP")+SUMIFS(Daily!$V:$V,Daily!$G:$G,11,Daily!$I:$I,{"외주수리완료"},Daily!$C:$C,"ATP"))/$R$3)</f>
        <v>0</v>
      </c>
      <c r="G16" s="21">
        <f>SUMIFS(Daily!$R:$R,Daily!$G:$G,11,Daily!$I:$I,{"수리완료"},Daily!$C:$C,"ATC")+SUMIFS(Daily!$R:$R,Daily!$G:$G,11,Daily!$I:$I,{"외주수리완료"},Daily!$C:$C,"ATC")</f>
        <v>0</v>
      </c>
      <c r="H16" s="117">
        <f>IF($R$2="K\",SUMIFS(Daily!$V:$V,Daily!$G:$G,11,Daily!$I:$I,{"수리완료"},Daily!$C:$C,"ATC")+SUMIFS(Daily!$V:$V,Daily!$G:$G,11,Daily!$I:$I,{"외주수리완료"},Daily!$C:$C,"ATC"),(SUMIFS(Daily!$V:$V,Daily!$G:$G,11,Daily!$I:$I,{"수리완료"},Daily!$C:$C,"ATC")+SUMIFS(Daily!$V:$V,Daily!$G:$G,11,Daily!$I:$I,{"외주수리완료"},Daily!$C:$C,"ATC"))/$R$3)</f>
        <v>0</v>
      </c>
      <c r="I16" s="21">
        <f>SUMIFS(Daily!$R:$R,Daily!$G:$G,11,Daily!$I:$I,{"수리완료"},Daily!$C:$C,"ATT")+SUMIFS(Daily!$R:$R,Daily!$G:$G,11,Daily!$I:$I,{"외주수리완료"},Daily!$C:$C,"ATT")</f>
        <v>0</v>
      </c>
      <c r="J16" s="117">
        <f>IF($R$2="K\",SUMIFS(Daily!$V:$V,Daily!$G:$G,11,Daily!$I:$I,{"수리완료"},Daily!$C:$C,"ATT")+SUMIFS(Daily!$V:$V,Daily!$G:$G,11,Daily!$I:$I,{"외주수리완료"},Daily!$C:$C,"ATT"),(SUMIFS(Daily!$V:$V,Daily!$G:$G,11,Daily!$I:$I,{"수리완료"},Daily!$C:$C,"ATT")+SUMIFS(Daily!$V:$V,Daily!$G:$G,11,Daily!$I:$I,{"외주수리완료"},Daily!$C:$C,"ATT"))/$R$3)</f>
        <v>0</v>
      </c>
      <c r="K16" s="21">
        <f>SUMIFS(Daily!$R:$R,Daily!$G:$G,11,Daily!$I:$I,{"수리완료"},Daily!$C:$C,"ATM")+SUMIFS(Daily!$R:$R,Daily!$G:$G,11,Daily!$I:$I,{"외주수리완료"},Daily!$C:$C,"ATM")</f>
        <v>0</v>
      </c>
      <c r="L16" s="117">
        <f>IF($R$2="K\",SUMIFS(Daily!$V:$V,Daily!$G:$G,11,Daily!$I:$I,{"수리완료"},Daily!$C:$C,"ATM")+SUMIFS(Daily!$V:$V,Daily!$G:$G,11,Daily!$I:$I,{"외주수리완료"},Daily!$C:$C,"ATM"),(SUMIFS(Daily!$V:$V,Daily!$G:$G,11,Daily!$I:$I,{"수리완료"},Daily!$C:$C,"ATM")+SUMIFS(Daily!$V:$V,Daily!$G:$G,11,Daily!$I:$I,{"외주수리완료"},Daily!$C:$C,"ATM"))/$R$3)</f>
        <v>0</v>
      </c>
      <c r="M16" s="21">
        <f>SUMIFS(Daily!$R:$R,Daily!$G:$G,11,Daily!$I:$I,{"수리완료"},Daily!$C:$C,"ATJ")+SUMIFS(Daily!$R:$R,Daily!$G:$G,11,Daily!$I:$I,{"외주수리완료"},Daily!$C:$C,"ATJ")</f>
        <v>0</v>
      </c>
      <c r="N16" s="117">
        <f>IF($R$2="K\",SUMIFS(Daily!$V:$V,Daily!$G:$G,11,Daily!$I:$I,{"수리완료"},Daily!$C:$C,"ATJ")+SUMIFS(Daily!$V:$V,Daily!$G:$G,11,Daily!$I:$I,{"외주수리완료"},Daily!$C:$C,"ATJ"),(SUMIFS(Daily!$V:$V,Daily!$G:$G,11,Daily!$I:$I,{"수리완료"},Daily!$C:$C,"ATJ")+SUMIFS(Daily!$V:$V,Daily!$G:$G,11,Daily!$I:$I,{"외주수리완료"},Daily!$C:$C,"ATJ"))/$R$3)</f>
        <v>0</v>
      </c>
      <c r="O16" s="21">
        <f>SUMIFS(Daily!$R:$R,Daily!$G:$G,11,Daily!$I:$I,{"*수리완료"},Daily!$C:$C,"ATEP")</f>
        <v>0</v>
      </c>
      <c r="P16" s="117">
        <f>IF($R$2="K\",SUMIFS(Daily!$V:$V,Daily!$G:$G,11,Daily!$I:$I,{"수리완료"},Daily!$C:$C,"ATEP")+SUMIFS(Daily!$V:$V,Daily!$G:$G,11,Daily!$I:$I,{"외주수리완료"},Daily!$C:$C,"ATEP"),(SUMIFS(Daily!$V:$V,Daily!$G:$G,11,Daily!$I:$I,{"수리완료"},Daily!$C:$C,"ATEP")+SUMIFS(Daily!$V:$V,Daily!$G:$G,11,Daily!$I:$I,{"외주수리완료"},Daily!$C:$C,"ATEP"))/$R$3)</f>
        <v>0</v>
      </c>
      <c r="Q16" s="22">
        <f t="shared" si="0"/>
        <v>147</v>
      </c>
      <c r="R16" s="119">
        <f t="shared" si="1"/>
        <v>143.59727272727272</v>
      </c>
      <c r="T16" s="23" t="s">
        <v>153</v>
      </c>
      <c r="U16" s="111" t="s">
        <v>150</v>
      </c>
      <c r="V16" s="111" t="s">
        <v>151</v>
      </c>
    </row>
    <row r="17" spans="2:22" ht="17.25" thickBot="1">
      <c r="B17" s="20" t="s">
        <v>68</v>
      </c>
      <c r="C17" s="21">
        <f>SUMPRODUCT(SUMIFS(Daily!$R:$R,Daily!$G:$G,"12",Daily!$C:$C,"ATK",Daily!$I:$I,"수리완료")) + SUMPRODUCT(SUMIFS(Daily!$R:$R,Daily!$G:$G,"12",Daily!$C:$C,"ATK",Daily!$I:$I,"외주수리완료"))</f>
        <v>134</v>
      </c>
      <c r="D17" s="117">
        <f>IF($R$2="K\",(SUMPRODUCT(SUMIFS(Daily!$V:$V,Daily!$G:$G,"12",Daily!$C:$C,"ATK",Daily!$I:$I,"수리완료")) + SUMPRODUCT(SUMIFS(Daily!$V:$V,Daily!$G:$G,"12",Daily!$C:$C,"ATK",Daily!$I:$I,"외주수리완료"))),(SUMPRODUCT(SUMIFS(Daily!$V:$V,Daily!$G:$G,"12",Daily!$C:$C,"ATK",Daily!$I:$I,"수리완료")) + SUMPRODUCT(SUMIFS(Daily!$V:$V,Daily!$G:$G,"12",Daily!$C:$C,"ATK",Daily!$I:$I,"외주수리완료")))/$R$3)</f>
        <v>141.93409090909091</v>
      </c>
      <c r="E17" s="21">
        <f>SUMIFS(Daily!$R:$R,Daily!$G:$G,12,Daily!$I:$I,{"수리완료"},Daily!$C:$C,"ATP")+SUMIFS(Daily!$R:$R,Daily!$G:$G,12,Daily!$I:$I,{"외주수리완료"},Daily!$C:$C,"ATP")</f>
        <v>5</v>
      </c>
      <c r="F17" s="117">
        <f>IF($R$2="K\",SUMIFS(Daily!$V:$V,Daily!$G:$G,12,Daily!$I:$I,{"수리완료"},Daily!$C:$C,"ATP")+SUMIFS(Daily!$V:$V,Daily!$G:$G,12,Daily!$I:$I,{"외주수리완료"},Daily!$C:$C,"ATP"),(SUMIFS(Daily!$V:$V,Daily!$G:$G,12,Daily!$I:$I,{"수리완료"},Daily!$C:$C,"ATP")+SUMIFS(Daily!$V:$V,Daily!$G:$G,12,Daily!$I:$I,{"외주수리완료"},Daily!$C:$C,"ATP"))/$R$3)</f>
        <v>10.227272727272727</v>
      </c>
      <c r="G17" s="21">
        <f>SUMIFS(Daily!$R:$R,Daily!$G:$G,12,Daily!$I:$I,{"수리완료"},Daily!$C:$C,"ATC")+SUMIFS(Daily!$R:$R,Daily!$G:$G,12,Daily!$I:$I,{"외주수리완료"},Daily!$C:$C,"ATC")</f>
        <v>5</v>
      </c>
      <c r="H17" s="117">
        <f>IF($R$2="K\",SUMIFS(Daily!$V:$V,Daily!$G:$G,12,Daily!$I:$I,{"수리완료"},Daily!$C:$C,"ATC")+SUMIFS(Daily!$V:$V,Daily!$G:$G,12,Daily!$I:$I,{"외주수리완료"},Daily!$C:$C,"ATC"),(SUMIFS(Daily!$V:$V,Daily!$G:$G,12,Daily!$I:$I,{"수리완료"},Daily!$C:$C,"ATC")+SUMIFS(Daily!$V:$V,Daily!$G:$G,12,Daily!$I:$I,{"외주수리완료"},Daily!$C:$C,"ATC"))/$R$3)</f>
        <v>3.6272727272727274</v>
      </c>
      <c r="I17" s="21">
        <f>SUMIFS(Daily!$R:$R,Daily!$G:$G,12,Daily!$I:$I,{"수리완료"},Daily!$C:$C,"ATT")+SUMIFS(Daily!$R:$R,Daily!$G:$G,12,Daily!$I:$I,{"외주수리완료"},Daily!$C:$C,"ATT")</f>
        <v>0</v>
      </c>
      <c r="J17" s="117">
        <f>IF($R$2="K\",SUMIFS(Daily!$V:$V,Daily!$G:$G,12,Daily!$I:$I,{"수리완료"},Daily!$C:$C,"ATT")+SUMIFS(Daily!$V:$V,Daily!$G:$G,12,Daily!$I:$I,{"외주수리완료"},Daily!$C:$C,"ATT"),(SUMIFS(Daily!$V:$V,Daily!$G:$G,12,Daily!$I:$I,{"수리완료"},Daily!$C:$C,"ATT")+SUMIFS(Daily!$V:$V,Daily!$G:$G,12,Daily!$I:$I,{"외주수리완료"},Daily!$C:$C,"ATT"))/$R$3)</f>
        <v>0</v>
      </c>
      <c r="K17" s="21">
        <f>SUMIFS(Daily!$R:$R,Daily!$G:$G,12,Daily!$I:$I,{"수리완료"},Daily!$C:$C,"ATM")+SUMIFS(Daily!$R:$R,Daily!$G:$G,12,Daily!$I:$I,{"외주수리완료"},Daily!$C:$C,"ATM")</f>
        <v>0</v>
      </c>
      <c r="L17" s="117">
        <f>IF($R$2="K\",SUMIFS(Daily!$V:$V,Daily!$G:$G,12,Daily!$I:$I,{"수리완료"},Daily!$C:$C,"ATM")+SUMIFS(Daily!$V:$V,Daily!$G:$G,12,Daily!$I:$I,{"외주수리완료"},Daily!$C:$C,"ATM"),(SUMIFS(Daily!$V:$V,Daily!$G:$G,12,Daily!$I:$I,{"수리완료"},Daily!$C:$C,"ATM")+SUMIFS(Daily!$V:$V,Daily!$G:$G,12,Daily!$I:$I,{"외주수리완료"},Daily!$C:$C,"ATM"))/$R$3)</f>
        <v>0</v>
      </c>
      <c r="M17" s="21">
        <f>SUMIFS(Daily!$R:$R,Daily!$G:$G,12,Daily!$I:$I,{"수리완료"},Daily!$C:$C,"ATJ")+SUMIFS(Daily!$R:$R,Daily!$G:$G,12,Daily!$I:$I,{"외주수리완료"},Daily!$C:$C,"ATJ")</f>
        <v>5</v>
      </c>
      <c r="N17" s="117">
        <f>IF($R$2="K\",SUMIFS(Daily!$V:$V,Daily!$G:$G,12,Daily!$I:$I,{"수리완료"},Daily!$C:$C,"ATJ")+SUMIFS(Daily!$V:$V,Daily!$G:$G,12,Daily!$I:$I,{"외주수리완료"},Daily!$C:$C,"ATJ"),(SUMIFS(Daily!$V:$V,Daily!$G:$G,12,Daily!$I:$I,{"수리완료"},Daily!$C:$C,"ATJ")+SUMIFS(Daily!$V:$V,Daily!$G:$G,12,Daily!$I:$I,{"외주수리완료"},Daily!$C:$C,"ATJ"))/$R$3)</f>
        <v>6.0904545454545458</v>
      </c>
      <c r="O17" s="21">
        <f>SUMIFS(Daily!$R:$R,Daily!$G:$G,12,Daily!$I:$I,{"*수리완료"},Daily!$C:$C,"ATEP")</f>
        <v>0</v>
      </c>
      <c r="P17" s="117">
        <f>IF($R$2="K\",SUMIFS(Daily!$V:$V,Daily!$G:$G,12,Daily!$I:$I,{"수리완료"},Daily!$C:$C,"ATEP")+SUMIFS(Daily!$V:$V,Daily!$G:$G,12,Daily!$I:$I,{"외주수리완료"},Daily!$C:$C,"ATEP"),(SUMIFS(Daily!$V:$V,Daily!$G:$G,12,Daily!$I:$I,{"수리완료"},Daily!$C:$C,"ATEP")+SUMIFS(Daily!$V:$V,Daily!$G:$G,12,Daily!$I:$I,{"외주수리완료"},Daily!$C:$C,"ATEP"))/$R$3)</f>
        <v>0</v>
      </c>
      <c r="Q17" s="22">
        <f t="shared" si="0"/>
        <v>149</v>
      </c>
      <c r="R17" s="119">
        <f t="shared" si="1"/>
        <v>161.87909090909091</v>
      </c>
      <c r="T17" s="23" t="s">
        <v>149</v>
      </c>
      <c r="U17" s="88">
        <f>INT(SUM(Daily!T:T))</f>
        <v>2362552</v>
      </c>
      <c r="V17" s="120">
        <f>U17/$R$3</f>
        <v>2147.7745454545457</v>
      </c>
    </row>
    <row r="18" spans="2:22" ht="17.25" thickBot="1">
      <c r="B18" s="20" t="s">
        <v>31</v>
      </c>
      <c r="C18" s="21"/>
      <c r="D18" s="117"/>
      <c r="E18" s="21"/>
      <c r="F18" s="117"/>
      <c r="G18" s="21"/>
      <c r="H18" s="117"/>
      <c r="I18" s="21"/>
      <c r="J18" s="117"/>
      <c r="K18" s="21"/>
      <c r="L18" s="117"/>
      <c r="M18" s="21"/>
      <c r="N18" s="117"/>
      <c r="O18" s="21"/>
      <c r="P18" s="117"/>
      <c r="Q18" s="22"/>
      <c r="R18" s="119"/>
      <c r="T18" s="23" t="s">
        <v>152</v>
      </c>
      <c r="U18" s="88">
        <f>SUM(Daily!U:U)</f>
        <v>110198</v>
      </c>
      <c r="V18" s="120">
        <f>U18/$R$3</f>
        <v>100.18</v>
      </c>
    </row>
    <row r="19" spans="2:22" ht="17.25" thickBot="1">
      <c r="B19" s="24" t="s">
        <v>69</v>
      </c>
      <c r="C19" s="25">
        <f t="shared" ref="C19:N19" si="3">SUM(C6:C17)</f>
        <v>1829</v>
      </c>
      <c r="D19" s="118">
        <f t="shared" si="3"/>
        <v>1838.3355272727269</v>
      </c>
      <c r="E19" s="25">
        <f t="shared" si="3"/>
        <v>68</v>
      </c>
      <c r="F19" s="118">
        <f t="shared" si="3"/>
        <v>75.397581818181806</v>
      </c>
      <c r="G19" s="25">
        <f t="shared" si="3"/>
        <v>5</v>
      </c>
      <c r="H19" s="118">
        <f t="shared" si="3"/>
        <v>3.6272727272727274</v>
      </c>
      <c r="I19" s="25">
        <f t="shared" si="3"/>
        <v>0</v>
      </c>
      <c r="J19" s="118">
        <f t="shared" si="3"/>
        <v>0</v>
      </c>
      <c r="K19" s="25">
        <f t="shared" si="3"/>
        <v>0</v>
      </c>
      <c r="L19" s="118">
        <f t="shared" si="3"/>
        <v>0</v>
      </c>
      <c r="M19" s="25">
        <f t="shared" si="3"/>
        <v>5</v>
      </c>
      <c r="N19" s="118">
        <f t="shared" si="3"/>
        <v>6.0904545454545458</v>
      </c>
      <c r="O19" s="25">
        <f>SUM(O6:O17)</f>
        <v>3</v>
      </c>
      <c r="P19" s="118">
        <f>SUM(P6:P17)</f>
        <v>9.3504545454545447</v>
      </c>
      <c r="Q19" s="22">
        <f>C19+E19+G19+I19+K19+M19+O19</f>
        <v>1910</v>
      </c>
      <c r="R19" s="185">
        <f>D19+F19+H19+J19+L19+N19+P19</f>
        <v>1932.8012909090908</v>
      </c>
      <c r="T19" s="23" t="s">
        <v>57</v>
      </c>
      <c r="U19" s="88">
        <f>U17-U18</f>
        <v>2252354</v>
      </c>
      <c r="V19" s="120">
        <f>U19/$R$3</f>
        <v>2047.5945454545454</v>
      </c>
    </row>
    <row r="20" spans="2:22" ht="17.25" thickBot="1">
      <c r="B20" s="26" t="s">
        <v>70</v>
      </c>
      <c r="C20" s="27">
        <f>C19/($C$19+$E$19+$G$19+$I$19+$K$19+$M$19+$O$19)</f>
        <v>0.95759162303664924</v>
      </c>
      <c r="D20" s="27">
        <f>D19/($D$19+$F$19+$H$19+$J$19+$L$19+$N$19+$P$19)</f>
        <v>0.95112494798059044</v>
      </c>
      <c r="E20" s="27">
        <f>E19/($C$19+$E$19+$G$19+$I$19+$K$19+$M$19+$O$19)</f>
        <v>3.5602094240837698E-2</v>
      </c>
      <c r="F20" s="27">
        <f>F19/($D$19+$F$19+$H$19+$J$19+$L$19+$N$19+$P$19)</f>
        <v>3.9009484406293336E-2</v>
      </c>
      <c r="G20" s="27">
        <f>G19/($C$19+$E$19+$G$19+$I$19+$K$19+$M$19+$O$19)</f>
        <v>2.617801047120419E-3</v>
      </c>
      <c r="H20" s="27">
        <f>H19/($D$19+$F$19+$H$19+$J$19+$L$19+$N$19+$P$19)</f>
        <v>1.8766920036392587E-3</v>
      </c>
      <c r="I20" s="27">
        <f>I19/($C$19+$E$19+$G$19+$I$19+$K$19+$M$19+$O$19)</f>
        <v>0</v>
      </c>
      <c r="J20" s="27">
        <f>J19/($D$19+$F$19+$H$19+$J$19+$L$19+$N$19+$P$19)</f>
        <v>0</v>
      </c>
      <c r="K20" s="27">
        <f>K19/($C$19+$E$19+$G$19+$I$19+$K$19+$M$19+$O$19)</f>
        <v>0</v>
      </c>
      <c r="L20" s="27">
        <f>L19/($D$19+$F$19+$H$19+$J$19+$L$19+$N$19+$P$19)</f>
        <v>0</v>
      </c>
      <c r="M20" s="27">
        <f>M19/($C$19+$E$19+$G$19+$I$19+$K$19+$M$19+$O$19)</f>
        <v>2.617801047120419E-3</v>
      </c>
      <c r="N20" s="27">
        <f>N19/($D$19+$F$19+$H$19+$J$19+$L$19+$N$19+$P$19)</f>
        <v>3.1511022752835124E-3</v>
      </c>
      <c r="O20" s="27">
        <f>O19/($C$19+$E$19+$G$19+$I$19+$K$19+$M$19+$O$19)</f>
        <v>1.5706806282722514E-3</v>
      </c>
      <c r="P20" s="27">
        <f>P19/($D$19+$F$19+$H$19+$J$19+$L$19+$N$19+$P$19)</f>
        <v>4.8377733341933822E-3</v>
      </c>
      <c r="Q20" s="28">
        <f>C20+E20+G20+I20+K20+M20+O20</f>
        <v>1</v>
      </c>
      <c r="R20" s="28">
        <f>D20+F20+H20+J20+L20+N20+P20</f>
        <v>0.99999999999999989</v>
      </c>
      <c r="V20" s="17">
        <f>335951/1100</f>
        <v>305.41000000000003</v>
      </c>
    </row>
    <row r="21" spans="2:22">
      <c r="B21" s="29"/>
      <c r="C21" s="29"/>
      <c r="D21" s="29"/>
      <c r="E21" s="29"/>
      <c r="F21" s="29"/>
      <c r="G21" s="29"/>
      <c r="H21" s="29"/>
      <c r="I21" s="29"/>
      <c r="J21" s="29"/>
      <c r="K21"/>
      <c r="L21"/>
      <c r="M21"/>
      <c r="N21"/>
      <c r="O21"/>
      <c r="P21"/>
      <c r="V21" s="17">
        <f>156284/1100</f>
        <v>142.07636363636362</v>
      </c>
    </row>
    <row r="22" spans="2:22">
      <c r="B22" s="29"/>
      <c r="C22" s="29"/>
      <c r="D22" s="29"/>
      <c r="E22" s="29"/>
      <c r="F22" s="29"/>
      <c r="G22" s="29"/>
      <c r="H22" s="29"/>
      <c r="I22" s="29"/>
      <c r="J22" s="29"/>
      <c r="K22"/>
      <c r="L22"/>
      <c r="M22"/>
      <c r="N22"/>
      <c r="O22"/>
      <c r="P22"/>
      <c r="V22" s="17">
        <f>95618/1100</f>
        <v>86.925454545454542</v>
      </c>
    </row>
    <row r="23" spans="2:22">
      <c r="B23" s="29"/>
      <c r="C23" s="29"/>
      <c r="D23" s="29"/>
      <c r="E23" s="29"/>
      <c r="F23" s="29"/>
      <c r="G23" s="29"/>
      <c r="H23" s="29"/>
      <c r="I23" s="29"/>
      <c r="J23" s="29"/>
      <c r="K23"/>
      <c r="L23"/>
      <c r="M23"/>
      <c r="N23"/>
      <c r="O23"/>
      <c r="P23"/>
    </row>
    <row r="24" spans="2:22">
      <c r="B24" s="29"/>
      <c r="C24" s="29"/>
      <c r="D24" s="29"/>
      <c r="E24" s="29"/>
      <c r="F24" s="29"/>
      <c r="G24" s="29"/>
      <c r="H24" s="29"/>
      <c r="I24" s="29"/>
      <c r="J24" s="29"/>
      <c r="K24"/>
      <c r="L24"/>
      <c r="M24"/>
      <c r="N24"/>
      <c r="O24"/>
      <c r="P24"/>
    </row>
    <row r="25" spans="2:22">
      <c r="B25" s="29"/>
      <c r="C25" s="29"/>
      <c r="D25" s="29"/>
      <c r="E25" s="29"/>
      <c r="F25" s="29"/>
      <c r="G25" s="29"/>
      <c r="H25" s="29"/>
      <c r="I25" s="29"/>
      <c r="J25" s="29"/>
      <c r="K25"/>
      <c r="L25"/>
      <c r="M25"/>
      <c r="N25"/>
      <c r="O25"/>
      <c r="P25"/>
    </row>
    <row r="26" spans="2:22">
      <c r="B26" s="29"/>
      <c r="C26" s="29"/>
      <c r="D26" s="29"/>
      <c r="E26" s="29"/>
      <c r="F26" s="29"/>
      <c r="G26" s="29"/>
      <c r="H26" s="29"/>
      <c r="I26" s="29"/>
      <c r="J26" s="29"/>
      <c r="K26"/>
      <c r="L26"/>
      <c r="M26"/>
      <c r="N26"/>
      <c r="O26"/>
      <c r="P26"/>
    </row>
    <row r="27" spans="2:22">
      <c r="B27" s="29"/>
      <c r="C27" s="29"/>
      <c r="D27" s="29"/>
      <c r="E27" s="29"/>
      <c r="F27" s="29"/>
      <c r="G27" s="29"/>
      <c r="H27" s="29"/>
      <c r="I27" s="29"/>
      <c r="J27" s="29"/>
      <c r="K27"/>
      <c r="L27"/>
      <c r="M27"/>
      <c r="N27"/>
      <c r="O27"/>
      <c r="P27"/>
    </row>
    <row r="28" spans="2:22">
      <c r="B28" s="30"/>
      <c r="C28" s="30"/>
      <c r="D28" s="30"/>
      <c r="E28" s="30"/>
      <c r="F28" s="30"/>
      <c r="G28" s="30"/>
      <c r="H28" s="30"/>
      <c r="I28" s="30"/>
      <c r="J28" s="30"/>
      <c r="K28"/>
      <c r="L28"/>
      <c r="M28"/>
      <c r="N28"/>
      <c r="O28"/>
      <c r="P28"/>
    </row>
    <row r="29" spans="2:22">
      <c r="B29" s="30"/>
      <c r="C29" s="30"/>
      <c r="D29" s="30"/>
      <c r="E29" s="30"/>
      <c r="F29" s="30"/>
      <c r="G29" s="30"/>
      <c r="H29" s="30"/>
      <c r="I29" s="30"/>
      <c r="J29" s="30"/>
      <c r="K29"/>
      <c r="L29"/>
      <c r="M29"/>
      <c r="N29"/>
      <c r="O29"/>
      <c r="P29"/>
    </row>
    <row r="30" spans="2:22">
      <c r="B30" s="30"/>
      <c r="C30" s="30"/>
      <c r="D30" s="30"/>
      <c r="E30" s="30"/>
      <c r="F30" s="30"/>
      <c r="G30" s="30"/>
      <c r="H30" s="30"/>
      <c r="I30" s="30"/>
      <c r="J30" s="30"/>
      <c r="K30"/>
      <c r="L30"/>
      <c r="M30"/>
      <c r="N30"/>
      <c r="O30"/>
      <c r="P30"/>
    </row>
    <row r="31" spans="2:22">
      <c r="B31" s="30"/>
      <c r="C31" s="30"/>
      <c r="D31" s="30"/>
      <c r="E31" s="30"/>
      <c r="F31" s="30"/>
      <c r="G31" s="30"/>
      <c r="H31" s="30"/>
      <c r="I31" s="30"/>
      <c r="J31" s="30"/>
      <c r="K31"/>
      <c r="L31"/>
      <c r="M31"/>
      <c r="N31"/>
      <c r="O31"/>
      <c r="P31"/>
    </row>
    <row r="32" spans="2:22">
      <c r="B32" s="30"/>
      <c r="C32" s="30"/>
      <c r="D32" s="30"/>
      <c r="E32" s="30"/>
      <c r="F32" s="30"/>
      <c r="G32" s="30"/>
      <c r="H32" s="30"/>
      <c r="I32" s="30"/>
      <c r="J32" s="30"/>
      <c r="K32"/>
      <c r="L32"/>
      <c r="M32"/>
      <c r="N32"/>
      <c r="O32"/>
      <c r="P32"/>
    </row>
    <row r="33" spans="2:16">
      <c r="B33" s="30"/>
      <c r="C33" s="30"/>
      <c r="D33" s="30"/>
      <c r="E33" s="30"/>
      <c r="F33" s="30"/>
      <c r="G33" s="30"/>
      <c r="H33" s="30"/>
      <c r="I33" s="30"/>
      <c r="J33" s="30"/>
      <c r="K33"/>
      <c r="L33"/>
      <c r="M33"/>
      <c r="N33"/>
      <c r="O33"/>
      <c r="P33"/>
    </row>
    <row r="34" spans="2:16">
      <c r="B34" s="30"/>
      <c r="C34" s="30"/>
      <c r="D34" s="30"/>
      <c r="E34" s="30"/>
      <c r="F34" s="30"/>
      <c r="G34" s="30"/>
      <c r="H34" s="30"/>
      <c r="I34" s="30"/>
      <c r="J34" s="30"/>
      <c r="K34"/>
      <c r="L34"/>
      <c r="M34"/>
      <c r="N34"/>
      <c r="O34"/>
      <c r="P34"/>
    </row>
  </sheetData>
  <mergeCells count="17">
    <mergeCell ref="B1:M2"/>
    <mergeCell ref="B4:B5"/>
    <mergeCell ref="C4:D4"/>
    <mergeCell ref="E4:F4"/>
    <mergeCell ref="G4:H4"/>
    <mergeCell ref="I4:J4"/>
    <mergeCell ref="K4:L4"/>
    <mergeCell ref="M4:N4"/>
    <mergeCell ref="W4:W5"/>
    <mergeCell ref="X4:X5"/>
    <mergeCell ref="Y4:Y5"/>
    <mergeCell ref="Z4:Z5"/>
    <mergeCell ref="O4:P4"/>
    <mergeCell ref="Q4:R4"/>
    <mergeCell ref="T4:T5"/>
    <mergeCell ref="U4:U5"/>
    <mergeCell ref="V4:V5"/>
  </mergeCells>
  <phoneticPr fontId="3" type="noConversion"/>
  <dataValidations count="1">
    <dataValidation type="list" allowBlank="1" showInputMessage="1" showErrorMessage="1" sqref="R2" xr:uid="{00000000-0002-0000-0100-000000000000}">
      <formula1>"K$, K\"</formula1>
    </dataValidation>
  </dataValidations>
  <pageMargins left="0.7" right="0.7" top="0.75" bottom="0.75" header="0.3" footer="0.3"/>
  <pageSetup paperSize="9" orientation="portrait" r:id="rId1"/>
  <ignoredErrors>
    <ignoredError sqref="D20 F20 H20 J20 L20 N20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I12"/>
  <sheetViews>
    <sheetView tabSelected="1" zoomScale="115" zoomScaleNormal="115" workbookViewId="0">
      <selection activeCell="E4" sqref="E4"/>
    </sheetView>
  </sheetViews>
  <sheetFormatPr defaultRowHeight="16.5"/>
  <cols>
    <col min="1" max="3" width="11.625" customWidth="1"/>
    <col min="4" max="4" width="13.75" style="78" customWidth="1"/>
    <col min="5" max="5" width="8.625" style="78" customWidth="1"/>
    <col min="6" max="7" width="11.625" style="78" customWidth="1"/>
    <col min="8" max="9" width="12.625" customWidth="1"/>
  </cols>
  <sheetData>
    <row r="1" spans="1:9" ht="32.25" thickBot="1">
      <c r="A1" s="225" t="s">
        <v>84</v>
      </c>
      <c r="B1" s="226"/>
      <c r="C1" s="226"/>
      <c r="D1" s="226"/>
      <c r="E1" s="226"/>
      <c r="F1" s="226"/>
      <c r="G1" s="226"/>
      <c r="H1" s="226"/>
      <c r="I1" s="227"/>
    </row>
    <row r="2" spans="1:9" ht="17.25" thickBot="1">
      <c r="A2" s="228">
        <v>53</v>
      </c>
      <c r="B2" s="229" t="s">
        <v>85</v>
      </c>
      <c r="C2" s="233"/>
      <c r="D2" s="233"/>
      <c r="E2" s="230"/>
      <c r="F2" s="229" t="s">
        <v>86</v>
      </c>
      <c r="G2" s="230"/>
      <c r="H2" s="231" t="s">
        <v>31</v>
      </c>
      <c r="I2" s="232"/>
    </row>
    <row r="3" spans="1:9" ht="17.25" thickBot="1">
      <c r="A3" s="228"/>
      <c r="B3" s="160" t="s">
        <v>87</v>
      </c>
      <c r="C3" s="161" t="s">
        <v>88</v>
      </c>
      <c r="D3" s="162" t="s">
        <v>89</v>
      </c>
      <c r="E3" s="149" t="s">
        <v>154</v>
      </c>
      <c r="F3" s="163" t="s">
        <v>87</v>
      </c>
      <c r="G3" s="169" t="s">
        <v>88</v>
      </c>
      <c r="H3" s="170" t="s">
        <v>87</v>
      </c>
      <c r="I3" s="171" t="s">
        <v>88</v>
      </c>
    </row>
    <row r="4" spans="1:9">
      <c r="A4" s="75" t="s">
        <v>33</v>
      </c>
      <c r="B4" s="128">
        <f>SUMIFS(Daily!$R:$R, Daily!$AA:$AA, "*강영구*", Daily!$I:$I, "*수리완료",Daily!$F:$F,"&lt;&gt;",Daily!B:B,'Weekly Performance'!A2)</f>
        <v>2</v>
      </c>
      <c r="C4" s="129">
        <f>SUMIFS(Daily!$Y:$Y, Daily!$AA:$AA, "*강영구*", Daily!$I:$I, "*수리완료",Daily!$F:$F,"&lt;&gt;",Daily!B:B,'Weekly Performance'!A2)+SUMIFS(Daily!$Y:$Y, Daily!$AA:$AA, "*강영구*", Daily!$I:$I, "수리불가",Daily!$F:$F,"&lt;&gt;",Daily!B:B,'Weekly Performance'!A2)+SUMIFS(Daily!$Y:$Y, Daily!$AA:$AA, "*강영구*", Daily!$I:$I, "폐기",Daily!$F:$F,"&lt;&gt;",Daily!B:B,'Weekly Performance'!A2)</f>
        <v>8</v>
      </c>
      <c r="D4" s="150">
        <f>SUMIFS(Daily!V:V, Daily!$AA:$AA,"*강영구*", Daily!$I:$I, "수리완료",Daily!$F:$F,"&lt;&gt;", Daily!B:B,'Weekly Performance'!A2)+SUMIFS(Daily!V:V, Daily!$AA:$AA,"*강영구*", Daily!$I:$I, "외주수리완료",Daily!$F:$F,"&lt;&gt;", Daily!B:B,'Weekly Performance'!A2)</f>
        <v>980</v>
      </c>
      <c r="E4" s="155">
        <f>D4/1100</f>
        <v>0.89090909090909087</v>
      </c>
      <c r="F4" s="164">
        <f>SUMIFS(Daily!$R:$R, Daily!$AA:$AA, "*강영구*", Daily!$I:$I, "*수리중")</f>
        <v>0</v>
      </c>
      <c r="G4" s="130">
        <f>SUMIFS(Daily!$Y:$Y, Daily!$AA:$AA, "*강영구*", Daily!$I:$I, "*수리중")</f>
        <v>0</v>
      </c>
      <c r="H4" s="144">
        <f>SUMIFS(Daily!$R:$R, Daily!$AA:$AA, "*강영구*", Daily!$I:$I, "Other", Daily!$F:$F,"&lt;&gt;",Daily!B:B,'Weekly Performance'!A2)</f>
        <v>0</v>
      </c>
      <c r="I4" s="130">
        <f>SUMIFS(Daily!$Y:$Y, Daily!$AA:$AA, "*강영구*", Daily!$I:$I, "Other",Daily!$F:$F,"&lt;&gt;", Daily!B:B,'Weekly Performance'!A2)</f>
        <v>0</v>
      </c>
    </row>
    <row r="5" spans="1:9">
      <c r="A5" s="76" t="s">
        <v>30</v>
      </c>
      <c r="B5" s="131">
        <f>SUMIFS(Daily!$R:$R, Daily!$AA:$AA, "*장은철*", Daily!$I:$I, "수리완료",Daily!$F:$F,"&lt;&gt;",Daily!B:B,'Weekly Performance'!A2)+SUMIFS(Daily!$R:$R, Daily!$AA:$AA, "*장은철*", Daily!$I:$I, "외주수리완료",Daily!$F:$F,"&lt;&gt;",Daily!B:B,'Weekly Performance'!A2)</f>
        <v>6</v>
      </c>
      <c r="C5" s="132">
        <f>SUMIFS(Daily!$Y:$Y, Daily!$AA:$AA, "*장은철*", Daily!$I:$I, "*수리완료",Daily!$F:$F,"&lt;&gt;",Daily!B:B,'Weekly Performance'!A2)+SUMIFS(Daily!$Y:$Y, Daily!$AA:$AA, "*장은철*", Daily!$I:$I, "수리불가",Daily!$F:$F,"&lt;&gt;",Daily!B:B,'Weekly Performance'!A2)+SUMIFS(Daily!$Y:$Y, Daily!$AA:$AA, "*장은철*", Daily!$I:$I, "폐기",Daily!$F:$F,"&lt;&gt;",Daily!B:B,'Weekly Performance'!A2)</f>
        <v>7</v>
      </c>
      <c r="D5" s="151">
        <f>SUMIFS(Daily!V:V, Daily!$AA:$AA,"*장은철*", Daily!$I:$I, "수리완료",Daily!$F:$F,"&lt;&gt;", Daily!B:B,'Weekly Performance'!A2)+SUMIFS(Daily!V:V, Daily!$AA:$AA,"*장은철*", Daily!$I:$I, "외주수리완료",Daily!$F:$F,"&lt;&gt;", Daily!B:B,'Weekly Performance'!A2)</f>
        <v>6734</v>
      </c>
      <c r="E5" s="156">
        <f t="shared" ref="E5:E10" si="0">D5/1100</f>
        <v>6.121818181818182</v>
      </c>
      <c r="F5" s="165">
        <f>SUMIFS(Daily!$R:$R, Daily!$AA:$AA, "*장은철*", Daily!$I:$I, "*수리중")</f>
        <v>0</v>
      </c>
      <c r="G5" s="133">
        <f>SUMIFS(Daily!$Y:$Y, Daily!$AA:$AA, "*장은철*", Daily!$I:$I, "*수리중")</f>
        <v>0</v>
      </c>
      <c r="H5" s="145">
        <f>SUMIFS(Daily!$R:$R, Daily!$AA:$AA, "*장은철*", Daily!$I:$I, "Other", Daily!$F:$F,"&lt;&gt;",Daily!B:B,'Weekly Performance'!A2)</f>
        <v>0</v>
      </c>
      <c r="I5" s="133">
        <f>SUMIFS(Daily!$Y:$Y, Daily!$AA:$AA, "*장은철*", Daily!$I:$I, "Other",Daily!$F:$F,"&lt;&gt;", Daily!B:B,'Weekly Performance'!A2)</f>
        <v>0</v>
      </c>
    </row>
    <row r="6" spans="1:9">
      <c r="A6" s="76" t="s">
        <v>27</v>
      </c>
      <c r="B6" s="131">
        <f>SUMIFS(Daily!$R:$R, Daily!$AA:$AA, "*허준영*", Daily!$I:$I, "수리완료",Daily!$F:$F,"&lt;&gt;",Daily!B:B,'Weekly Performance'!A2)+SUMIFS(Daily!$R:$R, Daily!$AA:$AA, "*허준영*", Daily!$I:$I, "외주수리완료",Daily!$F:$F,"&lt;&gt;",Daily!B:B,'Weekly Performance'!A2)</f>
        <v>4</v>
      </c>
      <c r="C6" s="132">
        <f>SUMIFS(Daily!$Y:$Y, Daily!$AA:$AA, "*허준영*", Daily!$I:$I, "*수리완료",Daily!$F:$F,"&lt;&gt;",Daily!B:B,'Weekly Performance'!A2)+SUMIFS(Daily!$Y:$Y, Daily!$AA:$AA, "*허준영*", Daily!$I:$I, "수리불가",Daily!$F:$F,"&lt;&gt;",Daily!B:B,'Weekly Performance'!A2)+SUMIFS(Daily!$Y:$Y, Daily!$AA:$AA, "*허준영*", Daily!$I:$I, "폐기",Daily!$F:$F,"&lt;&gt;",Daily!B:B,'Weekly Performance'!A2)</f>
        <v>18</v>
      </c>
      <c r="D6" s="151">
        <f>SUMIFS(Daily!V:V, Daily!$AA:$AA,"*허준영*", Daily!$I:$I, "수리완료",Daily!$F:$F,"&lt;&gt;", Daily!B:B,'Weekly Performance'!A2)+SUMIFS(Daily!V:V, Daily!$AA:$AA,"*허준영*", Daily!$I:$I, "외주수리완료",Daily!$F:$F,"&lt;&gt;", Daily!B:B,'Weekly Performance'!A2)</f>
        <v>9700</v>
      </c>
      <c r="E6" s="156">
        <f t="shared" si="0"/>
        <v>8.8181818181818183</v>
      </c>
      <c r="F6" s="165">
        <f>SUMIFS(Daily!$R:$R, Daily!$AA:$AA, "*허준영*", Daily!$I:$I, "*수리중")</f>
        <v>0</v>
      </c>
      <c r="G6" s="133">
        <f>SUMIFS(Daily!$Y:$Y, Daily!$AA:$AA, "*허준영*", Daily!$I:$I, "*수리중")</f>
        <v>0</v>
      </c>
      <c r="H6" s="145">
        <f>SUMIFS(Daily!$R:$R, Daily!$AA:$AA, "*허준영*", Daily!$I:$I, "Other", Daily!$F:$F,"&lt;&gt;",Daily!B:B,'Weekly Performance'!A2)</f>
        <v>0</v>
      </c>
      <c r="I6" s="133">
        <f>SUMIFS(Daily!$Y:$Y, Daily!$AA:$AA, "*허준영*", Daily!$I:$I, "Other",Daily!$F:$F,"&lt;&gt;", Daily!B:B,'Weekly Performance'!A2)</f>
        <v>0</v>
      </c>
    </row>
    <row r="7" spans="1:9">
      <c r="A7" s="76" t="s">
        <v>40</v>
      </c>
      <c r="B7" s="131">
        <f>SUMIFS(Daily!$R:$R, Daily!$AA:$AA, "*박병대*", Daily!$I:$I, "수리완료",Daily!$F:$F,"&lt;&gt;",Daily!B:B,'Weekly Performance'!A2)+SUMIFS(Daily!$R:$R, Daily!$AA:$AA, "*박병대*", Daily!$I:$I, "외주수리완료",Daily!$F:$F,"&lt;&gt;",Daily!B:B,'Weekly Performance'!A2)</f>
        <v>0</v>
      </c>
      <c r="C7" s="132">
        <f>SUMIFS(Daily!$Y:$Y, Daily!$AA:$AA, "*박병대*", Daily!$I:$I, "*수리완료",Daily!$F:$F,"&lt;&gt;",Daily!B:B,'Weekly Performance'!A2)+SUMIFS(Daily!$Y:$Y, Daily!$AA:$AA, "*박병대*", Daily!$I:$I, "수리불가",Daily!$F:$F,"&lt;&gt;",Daily!B:B,'Weekly Performance'!A2)+SUMIFS(Daily!$Y:$Y, Daily!$AA:$AA, "*박병대*", Daily!$I:$I, "폐기",Daily!$F:$F,"&lt;&gt;",Daily!B:B,'Weekly Performance'!A2)</f>
        <v>0</v>
      </c>
      <c r="D7" s="151">
        <f>SUMIFS(Daily!V:V, Daily!$AA:$AA,"*박병대*", Daily!$I:$I, "수리완료",Daily!$F:$F,"&lt;&gt;", Daily!B:B,'Weekly Performance'!A2)+SUMIFS(Daily!V:V, Daily!$AA:$AA,"*박병대*", Daily!$I:$I, "외주수리완료",Daily!$F:$F,"&lt;&gt;", Daily!B:B,'Weekly Performance'!A2)</f>
        <v>0</v>
      </c>
      <c r="E7" s="156">
        <f t="shared" si="0"/>
        <v>0</v>
      </c>
      <c r="F7" s="165">
        <f>SUMIFS(Daily!$R:$R, Daily!$AA:$AA, "*박병대*", Daily!$I:$I, "*수리중")</f>
        <v>0</v>
      </c>
      <c r="G7" s="133">
        <f>SUMIFS(Daily!$Y:$Y, Daily!$AA:$AA, "*박병대*", Daily!$I:$I, "*수리중")</f>
        <v>0</v>
      </c>
      <c r="H7" s="145">
        <f>SUMIFS(Daily!$R:$R, Daily!$AA:$AA, "*박병대*", Daily!$I:$I, "Other", Daily!$F:$F,"&lt;&gt;",Daily!B:B,'Weekly Performance'!A2)</f>
        <v>0</v>
      </c>
      <c r="I7" s="133">
        <f>SUMIFS(Daily!$Y:$Y, Daily!$AA:$AA, "*박병대*", Daily!$I:$I, "Other",Daily!$F:$F,"&lt;&gt;", Daily!B:B,'Weekly Performance'!A2)</f>
        <v>0</v>
      </c>
    </row>
    <row r="8" spans="1:9">
      <c r="A8" s="113" t="s">
        <v>44</v>
      </c>
      <c r="B8" s="131">
        <f>SUMIFS(Daily!$R:$R, Daily!$AA:$AA, "*최준영*", Daily!$I:$I, "수리완료",Daily!$F:$F,"&lt;&gt;",Daily!B:B,'Weekly Performance'!A2)+SUMIFS(Daily!$R:$R, Daily!$AA:$AA, "*최준영*", Daily!$I:$I, "외주수리완료",Daily!$F:$F,"&lt;&gt;",Daily!B:B,'Weekly Performance'!A2)</f>
        <v>3</v>
      </c>
      <c r="C8" s="135">
        <f>SUMIFS(Daily!$Y:$Y, Daily!$AA:$AA, "*최준영*", Daily!$I:$I, "*수리완료",Daily!$F:$F,"&lt;&gt;",Daily!B:B,'Weekly Performance'!A2)+SUMIFS(Daily!$Y:$Y, Daily!$AA:$AA, "*최준영*", Daily!$I:$I, "수리불가",Daily!$F:$F,"&lt;&gt;",Daily!B:B,'Weekly Performance'!A2)+SUMIFS(Daily!$Y:$Y, Daily!$AA:$AA, "*최준영*", Daily!$I:$I, "폐기",Daily!$F:$F,"&lt;&gt;",Daily!B:B,'Weekly Performance'!A2)</f>
        <v>15</v>
      </c>
      <c r="D8" s="152">
        <f>SUMIFS(Daily!V:V, Daily!$AA:$AA,"*최준영*", Daily!$I:$I, "수리완료",Daily!$F:$F,"&lt;&gt;", Daily!B:B,'Weekly Performance'!A2)+SUMIFS(Daily!V:V, Daily!$AA:$AA,"*최준영*", Daily!$I:$I, "외주수리완료",Daily!$F:$F,"&lt;&gt;", Daily!B:B,'Weekly Performance'!A2)</f>
        <v>6841</v>
      </c>
      <c r="E8" s="157">
        <f t="shared" si="0"/>
        <v>6.2190909090909088</v>
      </c>
      <c r="F8" s="166">
        <f>SUMIFS(Daily!$R:$R, Daily!$AA:$AA, "*최준영*", Daily!$I:$I, "*수리중")</f>
        <v>0</v>
      </c>
      <c r="G8" s="136">
        <f>SUMIFS(Daily!$Y:$Y, Daily!$AA:$AA, "*최준영*", Daily!$I:$I, "*수리중")</f>
        <v>0</v>
      </c>
      <c r="H8" s="146">
        <f>SUMIFS(Daily!$R:$R, Daily!$AA:$AA, "*최준영*", Daily!$I:$I, "Other", Daily!$F:$F,"&lt;&gt;",Daily!B:B,'Weekly Performance'!A2)</f>
        <v>0</v>
      </c>
      <c r="I8" s="136">
        <f>SUMIFS(Daily!$Y:$Y, Daily!$AA:$AA, "*최준영*", Daily!$I:$I, "Other",Daily!$F:$F,"&lt;&gt;", Daily!B:B,'Weekly Performance'!A2)</f>
        <v>0</v>
      </c>
    </row>
    <row r="9" spans="1:9">
      <c r="A9" s="113" t="s">
        <v>174</v>
      </c>
      <c r="B9" s="131">
        <f>SUMIFS(Daily!$R:$R, Daily!$AA:$AA, "*정기수*", Daily!$I:$I, "수리완료",Daily!$F:$F,"&lt;&gt;",Daily!B:B,'Weekly Performance'!A2)+SUMIFS(Daily!$R:$R, Daily!$AA:$AA, "*정기수*", Daily!$I:$I, "외주수리완료",Daily!$F:$F,"&lt;&gt;",Daily!B:B,'Weekly Performance'!A2)</f>
        <v>2</v>
      </c>
      <c r="C9" s="135">
        <f>SUMIFS(Daily!$Y:$Y, Daily!$AA:$AA, "*정기수*", Daily!$I:$I, "*수리완료",Daily!$F:$F,"&lt;&gt;",Daily!B:B,'Weekly Performance'!A2)+SUMIFS(Daily!$Y:$Y, Daily!$AA:$AA, "*정기수*", Daily!$I:$I, "수리불가",Daily!$F:$F,"&lt;&gt;",Daily!B:B,'Weekly Performance'!A2)+SUMIFS(Daily!$Y:$Y, Daily!$AA:$AA, "*정기수*", Daily!$I:$I, "폐기",Daily!$F:$F,"&lt;&gt;",Daily!B:B,'Weekly Performance'!A2)</f>
        <v>8</v>
      </c>
      <c r="D9" s="152">
        <f>SUMIFS(Daily!V:V, Daily!$AA:$AA,"*정기수*", Daily!$I:$I, "수리완료",Daily!$F:$F,"&lt;&gt;", Daily!B:B,'Weekly Performance'!A2)+SUMIFS(Daily!V:V, Daily!$AA:$AA,"*정기수*", Daily!$I:$I, "외주수리완료",Daily!$F:$F,"&lt;&gt;", Daily!B:B,'Weekly Performance'!A2)</f>
        <v>4500</v>
      </c>
      <c r="E9" s="157">
        <f>D9/1100</f>
        <v>4.0909090909090908</v>
      </c>
      <c r="F9" s="166">
        <f>SUMIFS(Daily!$R:$R, Daily!$AA:$AA, "*정기수*", Daily!$I:$I, "*수리중")</f>
        <v>0</v>
      </c>
      <c r="G9" s="136">
        <f>SUMIFS(Daily!$Y:$Y, Daily!$AA:$AA, "*정기수*", Daily!$I:$I, "*수리중")</f>
        <v>0</v>
      </c>
      <c r="H9" s="146">
        <f>SUMIFS(Daily!$R:$R, Daily!$AA:$AA, "*정기수*", Daily!$I:$I, "Other", Daily!$F:$F,"&lt;&gt;",Daily!B:B,'Weekly Performance'!A2)</f>
        <v>0</v>
      </c>
      <c r="I9" s="136">
        <f>SUMIFS(Daily!$Y:$Y, Daily!$AA:$AA, "*정기수*", Daily!$I:$I, "Other",Daily!$F:$F,"&lt;&gt;", Daily!B:B,'Weekly Performance'!A2)</f>
        <v>0</v>
      </c>
    </row>
    <row r="10" spans="1:9" ht="17.25" hidden="1" thickBot="1">
      <c r="A10" s="77"/>
      <c r="B10" s="137">
        <f>SUMIFS(Daily!$R:$R, Daily!$AA:$AA, "*하주용*", Daily!$I:$I, "수리완료",Daily!$F:$F,"&lt;&gt;",Daily!B:B,'Weekly Performance'!A2)+SUMIFS(Daily!$R:$R, Daily!$AA:$AA, "*하주용*", Daily!$I:$I, "외주수리완료",Daily!$F:$F,"&lt;&gt;",Daily!B:B,'Weekly Performance'!A2)</f>
        <v>0</v>
      </c>
      <c r="C10" s="138">
        <f>SUMIFS(Daily!$Y:$Y, Daily!$AA:$AA, "*하주용*", Daily!$I:$I, "*수리완료",Daily!$F:$F,"&lt;&gt;",Daily!B:B,'Weekly Performance'!A2)+SUMIFS(Daily!$Y:$Y, Daily!$AA:$AA, "*하주용*", Daily!$I:$I, "수리불가",Daily!$F:$F,"&lt;&gt;",Daily!B:B,'Weekly Performance'!A2)+SUMIFS(Daily!$Y:$Y, Daily!$AA:$AA, "*하주용*", Daily!$I:$I, "폐기",Daily!$F:$F,"&lt;&gt;",Daily!B:B,'Weekly Performance'!A2)</f>
        <v>0</v>
      </c>
      <c r="D10" s="153">
        <f>SUMIFS(Daily!V:V, Daily!$AA:$AA,"*하주용*", Daily!$I:$I, "수리완료",Daily!$F:$F,"&lt;&gt;", Daily!B:B,'Weekly Performance'!A2)+SUMIFS(Daily!V:V, Daily!$AA:$AA,"*하주용*", Daily!$I:$I, "외주수리완료",Daily!$F:$F,"&lt;&gt;", Daily!B:B,'Weekly Performance'!A2)</f>
        <v>0</v>
      </c>
      <c r="E10" s="158">
        <f t="shared" si="0"/>
        <v>0</v>
      </c>
      <c r="F10" s="167">
        <f>SUMIFS(Daily!$R:$R, Daily!$AA:$AA, "*하주용*", Daily!$I:$I, "*수리중",Daily!B:B,'Weekly Performance'!A2)</f>
        <v>0</v>
      </c>
      <c r="G10" s="139">
        <f>SUMIFS(Daily!$Y:$Y, Daily!$AA:$AA, "*하주용*", Daily!$I:$I, "*수리중",Daily!B:B,'Weekly Performance'!A2)</f>
        <v>0</v>
      </c>
      <c r="H10" s="147">
        <f>SUMIFS(Daily!$R:$R, Daily!$AA:$AA, "*하주용*", Daily!$I:$I, "Other", Daily!$F:$F,"&lt;&gt;",Daily!B:B,'Weekly Performance'!A2)</f>
        <v>0</v>
      </c>
      <c r="I10" s="139">
        <f>SUMIFS(Daily!$Y:$Y, Daily!$AA:$AA, "*하주용*", Daily!$I:$I, "Other",Daily!$F:$F,"&lt;&gt;", Daily!B:B,'Weekly Performance'!A2)</f>
        <v>0</v>
      </c>
    </row>
    <row r="11" spans="1:9" ht="17.25" thickBot="1">
      <c r="A11" s="126" t="s">
        <v>77</v>
      </c>
      <c r="B11" s="140">
        <f>SUM(B4:B10)</f>
        <v>17</v>
      </c>
      <c r="C11" s="141">
        <f t="shared" ref="C11:I11" si="1">SUM(C4:C10)</f>
        <v>56</v>
      </c>
      <c r="D11" s="154">
        <f t="shared" si="1"/>
        <v>28755</v>
      </c>
      <c r="E11" s="159">
        <f>SUM(E4:E10)</f>
        <v>26.140909090909091</v>
      </c>
      <c r="F11" s="168">
        <f t="shared" si="1"/>
        <v>0</v>
      </c>
      <c r="G11" s="142">
        <f t="shared" si="1"/>
        <v>0</v>
      </c>
      <c r="H11" s="148">
        <f t="shared" si="1"/>
        <v>0</v>
      </c>
      <c r="I11" s="142">
        <f t="shared" si="1"/>
        <v>0</v>
      </c>
    </row>
    <row r="12" spans="1:9">
      <c r="C12" s="143"/>
      <c r="D12" s="127"/>
      <c r="E12" s="127"/>
    </row>
  </sheetData>
  <mergeCells count="5">
    <mergeCell ref="A1:I1"/>
    <mergeCell ref="A2:A3"/>
    <mergeCell ref="F2:G2"/>
    <mergeCell ref="H2:I2"/>
    <mergeCell ref="B2:E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G21"/>
  <sheetViews>
    <sheetView zoomScale="115" zoomScaleNormal="115" workbookViewId="0">
      <selection activeCell="K10" sqref="K10"/>
    </sheetView>
  </sheetViews>
  <sheetFormatPr defaultRowHeight="16.5"/>
  <cols>
    <col min="1" max="3" width="11.625" customWidth="1"/>
    <col min="4" max="4" width="16.625" style="78" customWidth="1"/>
    <col min="5" max="5" width="8.625" style="78" customWidth="1"/>
    <col min="6" max="7" width="12.625" customWidth="1"/>
  </cols>
  <sheetData>
    <row r="1" spans="1:7" ht="32.25" thickBot="1">
      <c r="A1" s="234" t="s">
        <v>90</v>
      </c>
      <c r="B1" s="235"/>
      <c r="C1" s="235"/>
      <c r="D1" s="235"/>
      <c r="E1" s="235"/>
      <c r="F1" s="235"/>
      <c r="G1" s="235"/>
    </row>
    <row r="2" spans="1:7" ht="17.25" thickBot="1">
      <c r="A2" s="236">
        <v>12</v>
      </c>
      <c r="B2" s="229" t="s">
        <v>85</v>
      </c>
      <c r="C2" s="233"/>
      <c r="D2" s="233"/>
      <c r="E2" s="230"/>
      <c r="F2" s="229" t="s">
        <v>31</v>
      </c>
      <c r="G2" s="230"/>
    </row>
    <row r="3" spans="1:7" ht="17.25" thickBot="1">
      <c r="A3" s="236"/>
      <c r="B3" s="160" t="s">
        <v>87</v>
      </c>
      <c r="C3" s="161" t="s">
        <v>88</v>
      </c>
      <c r="D3" s="162" t="s">
        <v>89</v>
      </c>
      <c r="E3" s="149" t="s">
        <v>154</v>
      </c>
      <c r="F3" s="163" t="s">
        <v>87</v>
      </c>
      <c r="G3" s="169" t="s">
        <v>88</v>
      </c>
    </row>
    <row r="4" spans="1:7">
      <c r="A4" s="75" t="s">
        <v>33</v>
      </c>
      <c r="B4" s="128">
        <f>SUMIFS(Daily!$R:$R, Daily!$AA:$AA, "*강영구*", Daily!$I:$I, "수리완료",Daily!$F:$F,"&lt;&gt;",Daily!G:G,'Monthly Performance'!A2)+SUMIFS(Daily!$R:$R, Daily!$AA:$AA, "*강영구*", Daily!$I:$I, "외주수리완료",Daily!$F:$F,"&lt;&gt;",Daily!G:G,'Monthly Performance'!A2)</f>
        <v>26</v>
      </c>
      <c r="C4" s="129">
        <f>SUMIFS(Daily!$Y:$Y, Daily!$AA:$AA, "*강영구*", Daily!$I:$I, "*수리완료",Daily!$F:$F,"&lt;&gt;", Daily!G:G,'Monthly Performance'!A2)+SUMIFS(Daily!$Y:$Y, Daily!$AA:$AA, "*강영구*", Daily!$I:$I, "폐기",Daily!$F:$F,"&lt;&gt;", Daily!G:G,'Monthly Performance'!A2)+SUMIFS(Daily!$Y:$Y, Daily!$AA:$AA, "*강영구*", Daily!$I:$I, "수리불가",Daily!$F:$F,"&lt;&gt;", Daily!G:G,'Monthly Performance'!A2)</f>
        <v>100</v>
      </c>
      <c r="D4" s="150">
        <f>SUMIFS(Daily!V:V, Daily!$AA:$AA,"*강영구*", Daily!$I:$I, "수리완료",Daily!$F:$F,"&lt;&gt;", Daily!G:G,'Monthly Performance'!A2)+SUMIFS(Daily!V:V, Daily!$AA:$AA,"*강영구*", Daily!$I:$I, "외주수리완료",Daily!$F:$F,"&lt;&gt;", Daily!G:G,'Monthly Performance'!A2)</f>
        <v>13992</v>
      </c>
      <c r="E4" s="155">
        <f t="shared" ref="E4:E9" si="0">D4/1100</f>
        <v>12.72</v>
      </c>
      <c r="F4" s="164">
        <f>SUMIFS(Daily!$R:$R, Daily!$AA:$AA, "*강영구*", Daily!$I:$I, "Other", Daily!$F:$F,"&lt;&gt;",Daily!G:G,'Monthly Performance'!A2)</f>
        <v>0</v>
      </c>
      <c r="G4" s="130">
        <f>SUMIFS(Daily!$Y:$Y, Daily!$AA:$AA, "*강영구*", Daily!$I:$I, "Other",Daily!$F:$F,"&lt;&gt;", Daily!G:G,'Monthly Performance'!A2)</f>
        <v>0</v>
      </c>
    </row>
    <row r="5" spans="1:7">
      <c r="A5" s="76" t="s">
        <v>30</v>
      </c>
      <c r="B5" s="131">
        <f>SUMIFS(Daily!$R:$R, Daily!$AA:$AA, "*장은철*", Daily!$I:$I, "수리완료",Daily!$F:$F,"&lt;&gt;",Daily!G:G,'Monthly Performance'!A2)+SUMIFS(Daily!$R:$R, Daily!$AA:$AA, "*장은철*", Daily!$I:$I, "외주수리완료",Daily!$F:$F,"&lt;&gt;",Daily!G:G,'Monthly Performance'!A2)</f>
        <v>43</v>
      </c>
      <c r="C5" s="132">
        <f>SUMIFS(Daily!$Y:$Y, Daily!$AA:$AA, "*장은철*", Daily!$I:$I, "*수리완료",Daily!$F:$F,"&lt;&gt;", Daily!G:G,'Monthly Performance'!A2)+SUMIFS(Daily!$Y:$Y, Daily!$AA:$AA, "*장은철*", Daily!$I:$I, "폐기",Daily!$F:$F,"&lt;&gt;", Daily!G:G,'Monthly Performance'!A2)+SUMIFS(Daily!$Y:$Y, Daily!$AA:$AA, "*장은철*", Daily!$I:$I, "수리불가",Daily!$F:$F,"&lt;&gt;", Daily!G:G,'Monthly Performance'!A2)</f>
        <v>95</v>
      </c>
      <c r="D5" s="151">
        <f>SUMIFS(Daily!V:V, Daily!$AA:$AA,"*장은철*", Daily!$I:$I, "수리완료",Daily!$F:$F,"&lt;&gt;", Daily!G:G,'Monthly Performance'!A2)+SUMIFS(Daily!V:V, Daily!$AA:$AA,"*장은철*", Daily!$I:$I, "외주수리완료",Daily!$F:$F,"&lt;&gt;", Daily!G:G,'Monthly Performance'!A2)</f>
        <v>87355</v>
      </c>
      <c r="E5" s="156">
        <f t="shared" si="0"/>
        <v>79.413636363636357</v>
      </c>
      <c r="F5" s="165">
        <f>SUMIFS(Daily!$R:$R, Daily!$AA:$AA, "*장은철*", Daily!$I:$I, "Other", Daily!$F:$F,"&lt;&gt;",Daily!G:G,'Monthly Performance'!A2)</f>
        <v>12</v>
      </c>
      <c r="G5" s="133">
        <f>SUMIFS(Daily!$Y:$Y, Daily!$AA:$AA, "*장은철*", Daily!$I:$I, "Other",Daily!$F:$F,"&lt;&gt;", Daily!G:G,'Monthly Performance'!A2)</f>
        <v>12</v>
      </c>
    </row>
    <row r="6" spans="1:7">
      <c r="A6" s="76" t="s">
        <v>27</v>
      </c>
      <c r="B6" s="131">
        <f>SUMIFS(Daily!$R:$R, Daily!$AA:$AA, "*허준영*", Daily!$I:$I, "수리완료",Daily!$F:$F,"&lt;&gt;",Daily!G:G,'Monthly Performance'!A2)+SUMIFS(Daily!$R:$R, Daily!$AA:$AA, "*허준영*", Daily!$I:$I, "외주수리완료",Daily!$F:$F,"&lt;&gt;",Daily!G:G,'Monthly Performance'!A2)</f>
        <v>27</v>
      </c>
      <c r="C6" s="132">
        <f>SUMIFS(Daily!$Y:$Y, Daily!$AA:$AA, "*허준영*", Daily!$I:$I, "*수리완료",Daily!$F:$F,"&lt;&gt;", Daily!G:G,'Monthly Performance'!A2)+SUMIFS(Daily!$Y:$Y, Daily!$AA:$AA, "*허준영*", Daily!$I:$I, "폐기",Daily!$F:$F,"&lt;&gt;", Daily!G:G,'Monthly Performance'!A2)+SUMIFS(Daily!$Y:$Y, Daily!$AA:$AA, "*허준영*", Daily!$I:$I, "수리불가",Daily!$F:$F,"&lt;&gt;", Daily!G:G,'Monthly Performance'!A2)</f>
        <v>71</v>
      </c>
      <c r="D6" s="151">
        <f>SUMIFS(Daily!V:V, Daily!$AA:$AA,"*허준영*", Daily!$I:$I, "수리완료",Daily!$F:$F,"&lt;&gt;", Daily!G:G,'Monthly Performance'!A2)+SUMIFS(Daily!V:V, Daily!$AA:$AA,"*허준영*", Daily!$I:$I, "외주수리완료",Daily!$F:$F,"&lt;&gt;", Daily!G:G,'Monthly Performance'!A2)</f>
        <v>28188</v>
      </c>
      <c r="E6" s="156">
        <f t="shared" si="0"/>
        <v>25.625454545454545</v>
      </c>
      <c r="F6" s="165">
        <f>SUMIFS(Daily!$R:$R, Daily!$AA:$AA, "*허준영*", Daily!$I:$I, "Other", Daily!$F:$F,"&lt;&gt;",Daily!G:G,'Monthly Performance'!A2)</f>
        <v>4</v>
      </c>
      <c r="G6" s="133">
        <f>SUMIFS(Daily!$Y:$Y, Daily!$AA:$AA, "*허준영*", Daily!$I:$I, "Other",Daily!$F:$F,"&lt;&gt;", Daily!G:G,'Monthly Performance'!A2)</f>
        <v>14</v>
      </c>
    </row>
    <row r="7" spans="1:7">
      <c r="A7" s="76" t="s">
        <v>40</v>
      </c>
      <c r="B7" s="131">
        <f>SUMIFS(Daily!$R:$R, Daily!$AA:$AA, "*박병대*", Daily!$I:$I, "수리완료",Daily!$F:$F,"&lt;&gt;",Daily!G:G,'Monthly Performance'!A2)+SUMIFS(Daily!$R:$R, Daily!$AA:$AA, "*박병대*", Daily!$I:$I, "외주수리완료",Daily!$F:$F,"&lt;&gt;",Daily!G:G,'Monthly Performance'!A2)</f>
        <v>0</v>
      </c>
      <c r="C7" s="132">
        <f>SUMIFS(Daily!$Y:$Y, Daily!$AA:$AA, "*박병대*", Daily!$I:$I, "*수리완료",Daily!$F:$F,"&lt;&gt;", Daily!G:G,'Monthly Performance'!A2)+SUMIFS(Daily!$Y:$Y, Daily!$AA:$AA, "*박병대*", Daily!$I:$I, "폐기",Daily!$F:$F,"&lt;&gt;", Daily!G:G,'Monthly Performance'!A2)+SUMIFS(Daily!$Y:$Y, Daily!$AA:$AA, "*박병대*", Daily!$I:$I, "수리불가",Daily!$F:$F,"&lt;&gt;", Daily!G:G,'Monthly Performance'!A2)</f>
        <v>0</v>
      </c>
      <c r="D7" s="151">
        <f>SUMIFS(Daily!V:V, Daily!$AA:$AA,"*박병대*", Daily!$I:$I, "수리완료",Daily!$F:$F,"&lt;&gt;", Daily!G:G,'Monthly Performance'!A2)+SUMIFS(Daily!V:V, Daily!$AA:$AA,"*박병대*", Daily!$I:$I, "외주수리완료",Daily!$F:$F,"&lt;&gt;", Daily!G:G,'Monthly Performance'!A2)</f>
        <v>0</v>
      </c>
      <c r="E7" s="156">
        <f t="shared" si="0"/>
        <v>0</v>
      </c>
      <c r="F7" s="165">
        <f>SUMIFS(Daily!$R:$R, Daily!$AA:$AA, "*박병대*", Daily!$I:$I, "Other", Daily!$F:$F,"&lt;&gt;",Daily!G:G,'Monthly Performance'!A2)</f>
        <v>0</v>
      </c>
      <c r="G7" s="133">
        <f>SUMIFS(Daily!$Y:$Y, Daily!$AA:$AA, "*박병대*", Daily!$I:$I, "Other",Daily!$F:$F,"&lt;&gt;", Daily!G:G,'Monthly Performance'!A2)</f>
        <v>0</v>
      </c>
    </row>
    <row r="8" spans="1:7">
      <c r="A8" s="113" t="s">
        <v>144</v>
      </c>
      <c r="B8" s="134">
        <f>SUMIFS(Daily!$R:$R, Daily!$AA:$AA, "*최준영*", Daily!$I:$I, "수리완료",Daily!$F:$F,"&lt;&gt;",Daily!G:G,'Monthly Performance'!A2)+SUMIFS(Daily!$R:$R, Daily!$AA:$AA, "*최준영*", Daily!$I:$I, "외주수리완료",Daily!$F:$F,"&lt;&gt;",Daily!G:G,'Monthly Performance'!A2)</f>
        <v>19</v>
      </c>
      <c r="C8" s="135">
        <f>SUMIFS(Daily!$Y:$Y, Daily!$AA:$AA, "*최준영*", Daily!$I:$I, "*수리완료",Daily!$F:$F,"&lt;&gt;", Daily!G:G,'Monthly Performance'!A2)+SUMIFS(Daily!$Y:$Y, Daily!$AA:$AA, "*최준영*", Daily!$I:$I, "폐기",Daily!$F:$F,"&lt;&gt;", Daily!G:G,'Monthly Performance'!A2)+SUMIFS(Daily!$Y:$Y, Daily!$AA:$AA, "*최준영*", Daily!$I:$I, "수리불가",Daily!$F:$F,"&lt;&gt;", Daily!G:G,'Monthly Performance'!A2)</f>
        <v>74</v>
      </c>
      <c r="D8" s="152">
        <f>SUMIFS(Daily!V:V, Daily!$AA:$AA,"*최준영*", Daily!$I:$I, "수리완료",Daily!$F:$F,"&lt;&gt;", Daily!G:G,'Monthly Performance'!A2)+SUMIFS(Daily!V:V, Daily!$AA:$AA,"*최준영*", Daily!$I:$I, "외주수리완료",Daily!$F:$F,"&lt;&gt;", Daily!G:G,'Monthly Performance'!A2)</f>
        <v>21907</v>
      </c>
      <c r="E8" s="157">
        <f t="shared" si="0"/>
        <v>19.915454545454544</v>
      </c>
      <c r="F8" s="166">
        <f>SUMIFS(Daily!$R:$R, Daily!$AA:$AA, "*최준영*", Daily!$I:$I, "Other", Daily!$F:$F,"&lt;&gt;",Daily!G:G,'Monthly Performance'!A2)</f>
        <v>0</v>
      </c>
      <c r="G8" s="136">
        <f>SUMIFS(Daily!$Y:$Y, Daily!$AA:$AA, "*최준영*", Daily!$I:$I, "Other",Daily!$F:$F,"&lt;&gt;", Daily!G:G,'Monthly Performance'!A2)</f>
        <v>0</v>
      </c>
    </row>
    <row r="9" spans="1:7">
      <c r="A9" s="113" t="s">
        <v>176</v>
      </c>
      <c r="B9" s="134">
        <f>SUMIFS(Daily!$R:$R, Daily!$AA:$AA, "*정기수*", Daily!$I:$I, "수리완료",Daily!$F:$F,"&lt;&gt;",Daily!G:G,'Monthly Performance'!A2)+SUMIFS(Daily!$R:$R, Daily!$AA:$AA, "*정기수*", Daily!$I:$I, "외주수리완료",Daily!$F:$F,"&lt;&gt;",Daily!G:G,'Monthly Performance'!A2)</f>
        <v>34</v>
      </c>
      <c r="C9" s="135">
        <f>SUMIFS(Daily!$Y:$Y, Daily!$AA:$AA, "*정기수*", Daily!$I:$I, "*수리완료",Daily!$F:$F,"&lt;&gt;", Daily!G:G,'Monthly Performance'!A2)+SUMIFS(Daily!$Y:$Y, Daily!$AA:$AA, "*정기수*", Daily!$I:$I, "폐기",Daily!$F:$F,"&lt;&gt;", Daily!G:G,'Monthly Performance'!A2)+SUMIFS(Daily!$Y:$Y, Daily!$AA:$AA, "*정기수*", Daily!$I:$I, "수리불가",Daily!$F:$F,"&lt;&gt;", Daily!G:G,'Monthly Performance'!A2)</f>
        <v>80</v>
      </c>
      <c r="D9" s="152">
        <f>SUMIFS(Daily!V:V, Daily!$AA:$AA,"*정기수*", Daily!$I:$I, "수리완료",Daily!$F:$F,"&lt;&gt;", Daily!G:G,'Monthly Performance'!A2)+SUMIFS(Daily!V:V, Daily!$AA:$AA,"*정기수*", Daily!$I:$I, "외주수리완료",Daily!$F:$F,"&lt;&gt;", Daily!G:G,'Monthly Performance'!A2)</f>
        <v>26625</v>
      </c>
      <c r="E9" s="157">
        <f t="shared" si="0"/>
        <v>24.204545454545453</v>
      </c>
      <c r="F9" s="166">
        <f>SUMIFS(Daily!$R:$R, Daily!$AA:$AA, "*정기수*", Daily!$I:$I, "Other", Daily!$F:$F,"&lt;&gt;",Daily!G:G,'Monthly Performance'!A2)</f>
        <v>18</v>
      </c>
      <c r="G9" s="136">
        <f>SUMIFS(Daily!$Y:$Y, Daily!$AA:$AA, "*정기수*", Daily!$I:$I, "Other",Daily!$F:$F,"&lt;&gt;", Daily!G:G,'Monthly Performance'!A2)</f>
        <v>30</v>
      </c>
    </row>
    <row r="10" spans="1:7" ht="17.25" thickBot="1">
      <c r="A10" s="126" t="s">
        <v>77</v>
      </c>
      <c r="B10" s="140">
        <f t="shared" ref="B10:G10" si="1">SUM(B4:B9)</f>
        <v>149</v>
      </c>
      <c r="C10" s="141">
        <f t="shared" si="1"/>
        <v>420</v>
      </c>
      <c r="D10" s="154">
        <f t="shared" si="1"/>
        <v>178067</v>
      </c>
      <c r="E10" s="159">
        <f t="shared" si="1"/>
        <v>161.87909090909091</v>
      </c>
      <c r="F10" s="168">
        <f t="shared" si="1"/>
        <v>34</v>
      </c>
      <c r="G10" s="142">
        <f t="shared" si="1"/>
        <v>56</v>
      </c>
    </row>
    <row r="21" ht="17.25" customHeight="1"/>
  </sheetData>
  <mergeCells count="4">
    <mergeCell ref="A1:G1"/>
    <mergeCell ref="A2:A3"/>
    <mergeCell ref="F2:G2"/>
    <mergeCell ref="B2:E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/>
  <dimension ref="A1:G10"/>
  <sheetViews>
    <sheetView zoomScale="115" zoomScaleNormal="115" workbookViewId="0">
      <selection activeCell="H6" sqref="H6"/>
    </sheetView>
  </sheetViews>
  <sheetFormatPr defaultRowHeight="16.5"/>
  <cols>
    <col min="1" max="3" width="11.625" customWidth="1"/>
    <col min="4" max="4" width="16.625" style="78" customWidth="1"/>
    <col min="5" max="5" width="8.625" style="78" customWidth="1"/>
    <col min="6" max="7" width="12.625" customWidth="1"/>
  </cols>
  <sheetData>
    <row r="1" spans="1:7" ht="32.25" thickBot="1">
      <c r="A1" s="234" t="s">
        <v>201</v>
      </c>
      <c r="B1" s="235"/>
      <c r="C1" s="235"/>
      <c r="D1" s="235"/>
      <c r="E1" s="235"/>
      <c r="F1" s="235"/>
      <c r="G1" s="235"/>
    </row>
    <row r="2" spans="1:7" ht="17.25" thickBot="1">
      <c r="A2" s="237">
        <v>2020</v>
      </c>
      <c r="B2" s="229" t="s">
        <v>91</v>
      </c>
      <c r="C2" s="233"/>
      <c r="D2" s="233"/>
      <c r="E2" s="230"/>
      <c r="F2" s="229" t="s">
        <v>31</v>
      </c>
      <c r="G2" s="230"/>
    </row>
    <row r="3" spans="1:7" ht="17.25" thickBot="1">
      <c r="A3" s="237"/>
      <c r="B3" s="160" t="s">
        <v>87</v>
      </c>
      <c r="C3" s="161" t="s">
        <v>88</v>
      </c>
      <c r="D3" s="162" t="s">
        <v>89</v>
      </c>
      <c r="E3" s="149" t="s">
        <v>154</v>
      </c>
      <c r="F3" s="163" t="s">
        <v>87</v>
      </c>
      <c r="G3" s="169" t="s">
        <v>88</v>
      </c>
    </row>
    <row r="4" spans="1:7">
      <c r="A4" s="75" t="s">
        <v>33</v>
      </c>
      <c r="B4" s="128">
        <f>SUMIFS(Daily!$R:$R, Daily!$AA:$AA, "*강영구*", Daily!$I:$I, "*수리완료",Daily!$F:$F,"&lt;&gt;")</f>
        <v>269</v>
      </c>
      <c r="C4" s="129">
        <f>SUMIFS(Daily!$Y:$Y, Daily!$AA:$AA, "*강영구*", Daily!$I:$I, "수리완료",Daily!$F:$F,"&lt;&gt;")+SUMIFS(Daily!$Y:$Y, Daily!$AA:$AA, "*강영구*", Daily!$I:$I, "폐기",Daily!$F:$F,"&lt;&gt;")+SUMIFS(Daily!$Y:$Y, Daily!$AA:$AA, "*강영구*", Daily!$I:$I, "수리불가",Daily!$F:$F,"&lt;&gt;")</f>
        <v>1033</v>
      </c>
      <c r="D4" s="150">
        <f>SUMIFS(Daily!V:V, Daily!$AA:$AA,"*강영구*", Daily!$I:$I, "*수리완료",Daily!$F:$F,"&lt;&gt;")</f>
        <v>245546</v>
      </c>
      <c r="E4" s="155">
        <f t="shared" ref="E4:E9" si="0">D4/1100</f>
        <v>223.22363636363636</v>
      </c>
      <c r="F4" s="164">
        <f>SUMIFS(Daily!$R:$R, Daily!$AA:$AA, "*강영구*", Daily!$I:$I, "Other", Daily!$F:$F,"&lt;&gt;")</f>
        <v>0</v>
      </c>
      <c r="G4" s="130">
        <f>SUMIFS(Daily!$Y:$Y, Daily!$AA:$AA, "*강영구*", Daily!$I:$I, "Other",Daily!$F:$F,"&lt;&gt;")</f>
        <v>0</v>
      </c>
    </row>
    <row r="5" spans="1:7">
      <c r="A5" s="76" t="s">
        <v>30</v>
      </c>
      <c r="B5" s="131">
        <f>SUMIFS(Daily!$R:$R, Daily!$AA:$AA, "*장은철*", Daily!$I:$I, "*수리완료",Daily!$F:$F,"&lt;&gt;")</f>
        <v>475</v>
      </c>
      <c r="C5" s="132">
        <f>SUMIFS(Daily!$Y:$Y, Daily!$AA:$AA, "*장은철*", Daily!$I:$I, "수리완료",Daily!$F:$F,"&lt;&gt;")+SUMIFS(Daily!$Y:$Y, Daily!$AA:$AA, "*장은철*", Daily!$I:$I, "폐기",Daily!$F:$F,"&lt;&gt;")+SUMIFS(Daily!$Y:$Y, Daily!$AA:$AA, "*장은철*", Daily!$I:$I, "수리불가",Daily!$F:$F,"&lt;&gt;")</f>
        <v>884</v>
      </c>
      <c r="D5" s="151">
        <f>SUMIFS(Daily!V:V, Daily!$AA:$AA,"*장은철*", Daily!$I:$I, "*수리완료",Daily!$F:$F,"&lt;&gt;")</f>
        <v>745695.7</v>
      </c>
      <c r="E5" s="156">
        <f t="shared" si="0"/>
        <v>677.90518181818175</v>
      </c>
      <c r="F5" s="165">
        <f>SUMIFS(Daily!$R:$R, Daily!$AA:$AA, "*장은철*", Daily!$I:$I, "Other", Daily!$F:$F,"&lt;&gt;")</f>
        <v>44</v>
      </c>
      <c r="G5" s="133">
        <f>SUMIFS(Daily!$Y:$Y, Daily!$AA:$AA, "*장은철*", Daily!$I:$I, "Other",Daily!$F:$F,"&lt;&gt;")</f>
        <v>132</v>
      </c>
    </row>
    <row r="6" spans="1:7">
      <c r="A6" s="76" t="s">
        <v>27</v>
      </c>
      <c r="B6" s="131">
        <f>SUMIFS(Daily!$R:$R, Daily!$AA:$AA, "*허준영*", Daily!$I:$I, "*수리완료",Daily!$F:$F,"&lt;&gt;")</f>
        <v>319</v>
      </c>
      <c r="C6" s="132">
        <f>SUMIFS(Daily!$Y:$Y, Daily!$AA:$AA, "*허준영*", Daily!$I:$I, "수리완료",Daily!$F:$F,"&lt;&gt;")+SUMIFS(Daily!$Y:$Y, Daily!$AA:$AA, "*허준영*", Daily!$I:$I, "폐기",Daily!$F:$F,"&lt;&gt;")+SUMIFS(Daily!$Y:$Y, Daily!$AA:$AA, "*허준영*", Daily!$I:$I, "수리불가",Daily!$F:$F,"&lt;&gt;")</f>
        <v>1008</v>
      </c>
      <c r="D6" s="151">
        <f>SUMIFS(Daily!V:V, Daily!$AA:$AA,"*허준영*", Daily!$I:$I, "*수리완료",Daily!$F:$F,"&lt;&gt;")</f>
        <v>417739</v>
      </c>
      <c r="E6" s="156">
        <f t="shared" si="0"/>
        <v>379.76272727272726</v>
      </c>
      <c r="F6" s="165">
        <f>SUMIFS(Daily!$R:$R, Daily!$AA:$AA, "*허준영*", Daily!$I:$I, "Other", Daily!$F:$F,"&lt;&gt;")</f>
        <v>55</v>
      </c>
      <c r="G6" s="133">
        <f>SUMIFS(Daily!$Y:$Y, Daily!$AA:$AA, "*허준영*", Daily!$I:$I, "Other",Daily!$F:$F,"&lt;&gt;")</f>
        <v>237</v>
      </c>
    </row>
    <row r="7" spans="1:7">
      <c r="A7" s="76" t="s">
        <v>40</v>
      </c>
      <c r="B7" s="131">
        <f>SUMIFS(Daily!$R:$R, Daily!$AA:$AA, "*박병대*", Daily!$I:$I, "*수리완료",Daily!$F:$F,"&lt;&gt;")</f>
        <v>190</v>
      </c>
      <c r="C7" s="132">
        <f>SUMIFS(Daily!$Y:$Y, Daily!$AA:$AA, "*박병대*", Daily!$I:$I, "수리완료",Daily!$F:$F,"&lt;&gt;")+SUMIFS(Daily!$Y:$Y, Daily!$AA:$AA, "*박병대*", Daily!$I:$I, "폐기",Daily!$F:$F,"&lt;&gt;")+SUMIFS(Daily!$Y:$Y, Daily!$AA:$AA, "*박병대*", Daily!$I:$I, "수리불가",Daily!$F:$F,"&lt;&gt;")</f>
        <v>674</v>
      </c>
      <c r="D7" s="151">
        <f>SUMIFS(Daily!V:V, Daily!$AA:$AA,"*박병대*", Daily!$I:$I, "*수리완료",Daily!$F:$F,"&lt;&gt;")</f>
        <v>141583</v>
      </c>
      <c r="E7" s="156">
        <f t="shared" si="0"/>
        <v>128.71181818181819</v>
      </c>
      <c r="F7" s="165">
        <f>SUMIFS(Daily!$R:$R, Daily!$AA:$AA, "*박병대*", Daily!$I:$I, "Other", Daily!$F:$F,"&lt;&gt;")</f>
        <v>3</v>
      </c>
      <c r="G7" s="133">
        <f>SUMIFS(Daily!$Y:$Y, Daily!$AA:$AA, "*박병대*", Daily!$I:$I, "Other",Daily!$F:$F,"&lt;&gt;")</f>
        <v>24</v>
      </c>
    </row>
    <row r="8" spans="1:7">
      <c r="A8" s="113" t="s">
        <v>144</v>
      </c>
      <c r="B8" s="134">
        <f>SUMIFS(Daily!$R:$R, Daily!$AA:$AA, "*최준영*", Daily!$I:$I, "*수리완료",Daily!$F:$F,"&lt;&gt;")</f>
        <v>267</v>
      </c>
      <c r="C8" s="135">
        <f>SUMIFS(Daily!$Y:$Y, Daily!$AA:$AA, "*최준영*", Daily!$I:$I, "수리완료",Daily!$F:$F,"&lt;&gt;")+SUMIFS(Daily!$Y:$Y, Daily!$AA:$AA, "*최준영*", Daily!$I:$I, "폐기",Daily!$F:$F,"&lt;&gt;")+SUMIFS(Daily!$Y:$Y, Daily!$AA:$AA, "*최준영*", Daily!$I:$I, "수리불가",Daily!$F:$F,"&lt;&gt;")</f>
        <v>1015</v>
      </c>
      <c r="D8" s="152">
        <f>SUMIFS(Daily!V:V, Daily!$AA:$AA,"*최준영*", Daily!$I:$I, "*수리완료",Daily!$F:$F,"&lt;&gt;")</f>
        <v>341015</v>
      </c>
      <c r="E8" s="157">
        <f t="shared" si="0"/>
        <v>310.01363636363635</v>
      </c>
      <c r="F8" s="166">
        <f>SUMIFS(Daily!$R:$R, Daily!$AA:$AA, "*최준영*", Daily!$I:$I, "Other", Daily!$F:$F,"&lt;&gt;")</f>
        <v>0</v>
      </c>
      <c r="G8" s="136">
        <f>SUMIFS(Daily!$Y:$Y, Daily!$AA:$AA, "*최준영*", Daily!$I:$I, "Other",Daily!$F:$F,"&lt;&gt;")</f>
        <v>0</v>
      </c>
    </row>
    <row r="9" spans="1:7">
      <c r="A9" s="113" t="s">
        <v>176</v>
      </c>
      <c r="B9" s="134">
        <f>SUMIFS(Daily!$R:$R, Daily!$AA:$AA, "*정기수*", Daily!$I:$I, "*수리완료",Daily!$F:$F,"&lt;&gt;")</f>
        <v>390</v>
      </c>
      <c r="C9" s="135">
        <f>SUMIFS(Daily!$Y:$Y, Daily!$AA:$AA, "*정기수*", Daily!$I:$I, "수리완료",Daily!$F:$F,"&lt;&gt;")+SUMIFS(Daily!$Y:$Y, Daily!$AA:$AA, "*정기수*", Daily!$I:$I, "폐기",Daily!$F:$F,"&lt;&gt;")+SUMIFS(Daily!$Y:$Y, Daily!$AA:$AA, "*정기수*", Daily!$I:$I, "수리불가",Daily!$F:$F,"&lt;&gt;")</f>
        <v>954</v>
      </c>
      <c r="D9" s="152">
        <f>SUMIFS(Daily!V:V, Daily!$AA:$AA,"*정기수*", Daily!$I:$I, "*수리완료",Daily!$F:$F,"&lt;&gt;")</f>
        <v>234502.71999999997</v>
      </c>
      <c r="E9" s="157">
        <f t="shared" si="0"/>
        <v>213.18429090909089</v>
      </c>
      <c r="F9" s="166">
        <f>SUMIFS(Daily!$R:$R, Daily!$AA:$AA, "*정기수*", Daily!$I:$I, "Other", Daily!$F:$F,"&lt;&gt;")</f>
        <v>56</v>
      </c>
      <c r="G9" s="136">
        <f>SUMIFS(Daily!$Y:$Y, Daily!$AA:$AA, "*정기수*", Daily!$I:$I, "Other",Daily!$F:$F,"&lt;&gt;")</f>
        <v>178</v>
      </c>
    </row>
    <row r="10" spans="1:7" ht="17.25" thickBot="1">
      <c r="A10" s="126" t="s">
        <v>77</v>
      </c>
      <c r="B10" s="140">
        <f t="shared" ref="B10:G10" si="1">SUM(B4:B9)</f>
        <v>1910</v>
      </c>
      <c r="C10" s="141">
        <f t="shared" si="1"/>
        <v>5568</v>
      </c>
      <c r="D10" s="154">
        <f t="shared" si="1"/>
        <v>2126081.42</v>
      </c>
      <c r="E10" s="159">
        <f t="shared" si="1"/>
        <v>1932.8012909090908</v>
      </c>
      <c r="F10" s="168">
        <f t="shared" si="1"/>
        <v>158</v>
      </c>
      <c r="G10" s="142">
        <f t="shared" si="1"/>
        <v>571</v>
      </c>
    </row>
  </sheetData>
  <mergeCells count="4">
    <mergeCell ref="A1:G1"/>
    <mergeCell ref="A2:A3"/>
    <mergeCell ref="F2:G2"/>
    <mergeCell ref="B2:E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Q59"/>
  <sheetViews>
    <sheetView showGridLines="0" topLeftCell="A22" zoomScale="85" zoomScaleNormal="85" workbookViewId="0">
      <selection activeCell="Q35" sqref="Q35"/>
    </sheetView>
  </sheetViews>
  <sheetFormatPr defaultRowHeight="16.5"/>
  <cols>
    <col min="1" max="1" width="11.625" customWidth="1"/>
    <col min="15" max="15" width="9" customWidth="1"/>
  </cols>
  <sheetData>
    <row r="1" spans="1:17" ht="42.75" customHeight="1" thickBot="1">
      <c r="A1" s="238" t="s">
        <v>202</v>
      </c>
      <c r="B1" s="238"/>
      <c r="C1" s="238"/>
      <c r="D1" s="238"/>
      <c r="E1" s="238"/>
      <c r="F1" s="238"/>
      <c r="G1" s="238"/>
      <c r="H1" s="238"/>
      <c r="I1" s="238"/>
    </row>
    <row r="2" spans="1:17" ht="17.25" thickBot="1">
      <c r="A2" s="34"/>
      <c r="B2" s="35" t="s">
        <v>21</v>
      </c>
      <c r="C2" s="36" t="s">
        <v>35</v>
      </c>
      <c r="D2" s="36" t="s">
        <v>38</v>
      </c>
      <c r="E2" s="36" t="s">
        <v>41</v>
      </c>
      <c r="F2" s="36" t="s">
        <v>42</v>
      </c>
      <c r="G2" s="36" t="s">
        <v>47</v>
      </c>
      <c r="H2" s="36" t="s">
        <v>49</v>
      </c>
      <c r="I2" s="36" t="s">
        <v>51</v>
      </c>
      <c r="J2" s="36" t="s">
        <v>52</v>
      </c>
      <c r="K2" s="36" t="s">
        <v>22</v>
      </c>
      <c r="L2" s="36" t="s">
        <v>75</v>
      </c>
      <c r="M2" s="36" t="s">
        <v>76</v>
      </c>
      <c r="N2" s="37" t="s">
        <v>77</v>
      </c>
      <c r="O2" s="38" t="s">
        <v>70</v>
      </c>
    </row>
    <row r="3" spans="1:17" ht="17.25" thickTop="1">
      <c r="A3" s="39" t="s">
        <v>78</v>
      </c>
      <c r="B3" s="40">
        <f>SUMIFS(Daily!R:R,Daily!I:I,"수리완료",Daily!G:G,"=1",Daily!F:F,"&lt;&gt;")</f>
        <v>160</v>
      </c>
      <c r="C3" s="41">
        <f>SUMIFS(Daily!R:R,Daily!I:I,"수리완료",Daily!G:G,"=2")</f>
        <v>140</v>
      </c>
      <c r="D3" s="41">
        <f>SUMIFS(Daily!R:R,Daily!I:I,"수리완료",Daily!G:G,"=3")</f>
        <v>157</v>
      </c>
      <c r="E3" s="41">
        <f>SUMIFS(Daily!R:R,Daily!I:I,"수리완료",Daily!G:G,"=4")</f>
        <v>161</v>
      </c>
      <c r="F3" s="41">
        <f>SUMIFS(Daily!R:R,Daily!I:I,"수리완료",Daily!G:G,"=5")</f>
        <v>155</v>
      </c>
      <c r="G3" s="41">
        <f>SUMIFS(Daily!R:R,Daily!I:I,"수리완료",Daily!G:G,"=6")</f>
        <v>160</v>
      </c>
      <c r="H3" s="41">
        <f>SUMIFS(Daily!R:R,Daily!I:I,"수리완료",Daily!G:G,"=7")</f>
        <v>207</v>
      </c>
      <c r="I3" s="41">
        <f>SUMIFS(Daily!R:R,Daily!I:I,"수리완료",Daily!G:G,"=8")</f>
        <v>131</v>
      </c>
      <c r="J3" s="41">
        <f>SUMIFS(Daily!R:R,Daily!I:I,"수리완료",Daily!G:G,"=9")</f>
        <v>121</v>
      </c>
      <c r="K3" s="41">
        <f>SUMIFS(Daily!R:R,Daily!I:I,"수리완료",Daily!G:G,"=10")</f>
        <v>146</v>
      </c>
      <c r="L3" s="41">
        <f>SUMIFS(Daily!R:R,Daily!I:I,"수리완료",Daily!G:G,"=11")</f>
        <v>145</v>
      </c>
      <c r="M3" s="41">
        <f>SUMIFS(Daily!R:R,Daily!I:I,"수리완료",Daily!G:G,"=12")</f>
        <v>134</v>
      </c>
      <c r="N3" s="42">
        <f>SUM(B3:M3)</f>
        <v>1817</v>
      </c>
      <c r="O3" s="43">
        <f>N3/N5</f>
        <v>0.95130890052356021</v>
      </c>
      <c r="Q3" t="s">
        <v>5180</v>
      </c>
    </row>
    <row r="4" spans="1:17">
      <c r="A4" s="44" t="s">
        <v>79</v>
      </c>
      <c r="B4" s="45">
        <f>SUMIFS(Daily!R:R,Daily!I:I,"외주수리완료",Daily!G:G,"=1",Daily!F:F,"&lt;&gt;")</f>
        <v>7</v>
      </c>
      <c r="C4" s="41">
        <f>SUMIFS(Daily!R:R,Daily!I:I,"외주수리완료",Daily!G:G,"=2")</f>
        <v>25</v>
      </c>
      <c r="D4" s="41">
        <f>SUMIFS(Daily!R:R,Daily!I:I,"외주수리완료",Daily!G:G,"=3")</f>
        <v>6</v>
      </c>
      <c r="E4" s="41">
        <f>SUMIFS(Daily!R:R,Daily!I:I,"외주수리완료",Daily!G:G,"=4")</f>
        <v>6</v>
      </c>
      <c r="F4" s="41">
        <f>SUMIFS(Daily!R:R,Daily!I:I,"외주수리완료",Daily!G:G,"=5")</f>
        <v>4</v>
      </c>
      <c r="G4" s="41">
        <f>SUMIFS(Daily!R:R,Daily!I:I,"외주수리완료",Daily!G:G,"=6")</f>
        <v>7</v>
      </c>
      <c r="H4" s="41">
        <f>SUMIFS(Daily!R:R,Daily!I:I,"외주수리완료",Daily!G:G,"=7")</f>
        <v>8</v>
      </c>
      <c r="I4" s="41">
        <f>SUMIFS(Daily!R:R,Daily!I:I,"외주수리완료",Daily!G:G,"=8")</f>
        <v>9</v>
      </c>
      <c r="J4" s="41">
        <f>SUMIFS(Daily!R:R,Daily!I:I,"외주수리완료",Daily!G:G,"=9")</f>
        <v>1</v>
      </c>
      <c r="K4" s="41">
        <f>SUMIFS(Daily!R:R,Daily!I:I,"외주수리완료",Daily!G:G,"=10")</f>
        <v>3</v>
      </c>
      <c r="L4" s="41">
        <f>SUMIFS(Daily!R:R,Daily!I:I,"외주수리완료",Daily!G:G,"=11")</f>
        <v>2</v>
      </c>
      <c r="M4" s="41">
        <f>SUMIFS(Daily!R:R,Daily!I:I,"외주수리완료",Daily!G:G,"=12")</f>
        <v>15</v>
      </c>
      <c r="N4" s="42">
        <f>SUM(B4:M4)</f>
        <v>93</v>
      </c>
      <c r="O4" s="46">
        <f>N4/N5</f>
        <v>4.8691099476439792E-2</v>
      </c>
    </row>
    <row r="5" spans="1:17" ht="17.25" thickBot="1">
      <c r="A5" s="47" t="s">
        <v>80</v>
      </c>
      <c r="B5" s="48">
        <f t="shared" ref="B5:O5" si="0">SUM(B3:B4)</f>
        <v>167</v>
      </c>
      <c r="C5" s="49">
        <f t="shared" si="0"/>
        <v>165</v>
      </c>
      <c r="D5" s="49">
        <f t="shared" si="0"/>
        <v>163</v>
      </c>
      <c r="E5" s="49">
        <f t="shared" si="0"/>
        <v>167</v>
      </c>
      <c r="F5" s="49">
        <f t="shared" si="0"/>
        <v>159</v>
      </c>
      <c r="G5" s="49">
        <f t="shared" si="0"/>
        <v>167</v>
      </c>
      <c r="H5" s="49">
        <f t="shared" si="0"/>
        <v>215</v>
      </c>
      <c r="I5" s="49">
        <f t="shared" si="0"/>
        <v>140</v>
      </c>
      <c r="J5" s="49">
        <f t="shared" si="0"/>
        <v>122</v>
      </c>
      <c r="K5" s="49">
        <f t="shared" si="0"/>
        <v>149</v>
      </c>
      <c r="L5" s="49">
        <f t="shared" si="0"/>
        <v>147</v>
      </c>
      <c r="M5" s="49">
        <f t="shared" si="0"/>
        <v>149</v>
      </c>
      <c r="N5" s="50">
        <f t="shared" si="0"/>
        <v>1910</v>
      </c>
      <c r="O5" s="51">
        <f t="shared" si="0"/>
        <v>1</v>
      </c>
    </row>
    <row r="6" spans="1:17" ht="17.25" thickBot="1">
      <c r="A6" s="52" t="s">
        <v>81</v>
      </c>
      <c r="B6" s="53">
        <f>IFERROR(B4/B5,"")</f>
        <v>4.1916167664670656E-2</v>
      </c>
      <c r="C6" s="54">
        <f t="shared" ref="C6:O6" si="1">IFERROR(C4/C5,"")</f>
        <v>0.15151515151515152</v>
      </c>
      <c r="D6" s="54">
        <f t="shared" si="1"/>
        <v>3.6809815950920248E-2</v>
      </c>
      <c r="E6" s="54">
        <f t="shared" si="1"/>
        <v>3.5928143712574849E-2</v>
      </c>
      <c r="F6" s="54">
        <f t="shared" si="1"/>
        <v>2.5157232704402517E-2</v>
      </c>
      <c r="G6" s="54">
        <f t="shared" si="1"/>
        <v>4.1916167664670656E-2</v>
      </c>
      <c r="H6" s="54">
        <f t="shared" si="1"/>
        <v>3.7209302325581395E-2</v>
      </c>
      <c r="I6" s="54">
        <f t="shared" si="1"/>
        <v>6.4285714285714279E-2</v>
      </c>
      <c r="J6" s="54">
        <f t="shared" si="1"/>
        <v>8.1967213114754103E-3</v>
      </c>
      <c r="K6" s="54">
        <f t="shared" si="1"/>
        <v>2.0134228187919462E-2</v>
      </c>
      <c r="L6" s="54">
        <f t="shared" si="1"/>
        <v>1.3605442176870748E-2</v>
      </c>
      <c r="M6" s="54">
        <f t="shared" si="1"/>
        <v>0.10067114093959731</v>
      </c>
      <c r="N6" s="55"/>
      <c r="O6" s="174">
        <f t="shared" si="1"/>
        <v>4.8691099476439792E-2</v>
      </c>
      <c r="P6" s="173"/>
    </row>
    <row r="7" spans="1:17" ht="17.25" thickBot="1">
      <c r="A7" s="56" t="s">
        <v>82</v>
      </c>
      <c r="B7" s="57">
        <f>IFERROR(SUMIFS(Daily!U:U,Daily!I:I,"외주수리완료",Daily!G:G,"1",Daily!F:F,"&lt;&gt;"),"")</f>
        <v>5050</v>
      </c>
      <c r="C7" s="58">
        <f>IFERROR(SUMIFS(Daily!U:U,Daily!I:I,"외주수리완료",Daily!G:G,"2",Daily!F:F,"&lt;&gt;"),"")</f>
        <v>10420</v>
      </c>
      <c r="D7" s="58">
        <f>IFERROR(SUMIFS(Daily!U:U,Daily!I:I,"외주수리완료",Daily!G:G,"3",Daily!F:F,"&lt;&gt;"),"")</f>
        <v>4800</v>
      </c>
      <c r="E7" s="57">
        <f>IFERROR(SUMIFS(Daily!U:U,Daily!I:I,"외주수리완료",Daily!G:G,"4",Daily!F:F,"&lt;&gt;"),"")</f>
        <v>5600</v>
      </c>
      <c r="F7" s="57">
        <f>IFERROR(SUMIFS(Daily!U:U,Daily!I:I,"외주수리완료",Daily!G:G,"5",Daily!F:F,"&lt;&gt;"),"")</f>
        <v>4390</v>
      </c>
      <c r="G7" s="58">
        <f>IFERROR(SUMIFS(Daily!U:U,Daily!I:I,"외주수리완료",Daily!G:G,"6",Daily!F:F,"&lt;&gt;"),"")</f>
        <v>4310</v>
      </c>
      <c r="H7" s="58">
        <f>IFERROR(SUMIFS(Daily!U:U,Daily!I:I,"외주수리완료",Daily!G:G,"7",Daily!F:F,"&lt;&gt;"),"")</f>
        <v>11330</v>
      </c>
      <c r="I7" s="57">
        <f>IFERROR(SUMIFS(Daily!U:U,Daily!I:I,"외주수리완료",Daily!G:G,"8",Daily!F:F,"&lt;&gt;"),"")</f>
        <v>10820</v>
      </c>
      <c r="J7" s="57">
        <f>IFERROR(SUMIFS(Daily!U:U,Daily!I:I,"외주수리완료",Daily!G:G,"9",Daily!F:F,"&lt;&gt;"),"")</f>
        <v>800</v>
      </c>
      <c r="K7" s="58">
        <f>IFERROR(SUMIFS(Daily!U:U,Daily!I:I,"외주수리완료",Daily!G:G,"10",Daily!F:F,"&lt;&gt;"),"")</f>
        <v>5300</v>
      </c>
      <c r="L7" s="58">
        <f>IFERROR(SUMIFS(Daily!U:U,Daily!I:I,"외주수리완료",Daily!G:G,"11",Daily!F:F,"&lt;&gt;"),"")</f>
        <v>3000</v>
      </c>
      <c r="M7" s="57">
        <f>IFERROR(SUMIFS(Daily!U:U,Daily!I:I,"외주수리완료",Daily!G:G,"12",Daily!F:F,"&lt;&gt;"),"")</f>
        <v>4060</v>
      </c>
      <c r="N7" s="59">
        <f>SUM(B7:M7)</f>
        <v>69880</v>
      </c>
      <c r="O7" s="172"/>
    </row>
    <row r="8" spans="1:17">
      <c r="A8" s="29"/>
      <c r="B8" s="29"/>
      <c r="C8" s="29"/>
      <c r="D8" s="29"/>
      <c r="E8" s="29"/>
      <c r="F8" s="29"/>
      <c r="G8" s="29"/>
      <c r="H8" s="29"/>
      <c r="I8" s="29"/>
    </row>
    <row r="9" spans="1:17">
      <c r="A9" s="29"/>
      <c r="B9" s="29"/>
      <c r="C9" s="29"/>
      <c r="D9" s="29"/>
      <c r="E9" s="29"/>
      <c r="F9" s="29"/>
      <c r="G9" s="29"/>
      <c r="H9" s="29"/>
      <c r="I9" s="29"/>
    </row>
    <row r="10" spans="1:17">
      <c r="A10" s="29"/>
      <c r="B10" s="29"/>
      <c r="C10" s="29"/>
      <c r="D10" s="29"/>
      <c r="E10" s="29"/>
      <c r="F10" s="29"/>
      <c r="G10" s="29"/>
      <c r="H10" s="29"/>
      <c r="I10" s="29"/>
    </row>
    <row r="11" spans="1:17">
      <c r="A11" s="29"/>
      <c r="B11" s="29"/>
      <c r="C11" s="29"/>
      <c r="D11" s="29"/>
      <c r="E11" s="29"/>
      <c r="F11" s="29"/>
      <c r="G11" s="29"/>
      <c r="H11" s="29"/>
      <c r="I11" s="29"/>
    </row>
    <row r="12" spans="1:17">
      <c r="A12" s="29"/>
      <c r="B12" s="29"/>
      <c r="C12" s="29"/>
      <c r="D12" s="29"/>
      <c r="E12" s="29"/>
      <c r="F12" s="29"/>
      <c r="G12" s="29"/>
      <c r="H12" s="29"/>
      <c r="I12" s="29"/>
    </row>
    <row r="13" spans="1:17">
      <c r="A13" s="29"/>
      <c r="B13" s="29"/>
      <c r="C13" s="29"/>
      <c r="D13" s="29"/>
      <c r="E13" s="29"/>
      <c r="F13" s="29"/>
      <c r="G13" s="29"/>
      <c r="H13" s="29"/>
      <c r="I13" s="29"/>
    </row>
    <row r="14" spans="1:17">
      <c r="A14" s="29"/>
      <c r="B14" s="29"/>
      <c r="C14" s="29"/>
      <c r="D14" s="29"/>
      <c r="E14" s="29"/>
      <c r="F14" s="29"/>
      <c r="G14" s="29"/>
      <c r="H14" s="29"/>
      <c r="I14" s="29"/>
    </row>
    <row r="15" spans="1:17">
      <c r="A15" s="29"/>
      <c r="B15" s="29"/>
      <c r="C15" s="29"/>
      <c r="D15" s="29"/>
      <c r="E15" s="29"/>
      <c r="F15" s="29"/>
      <c r="G15" s="29"/>
      <c r="H15" s="29"/>
      <c r="I15" s="29"/>
    </row>
    <row r="16" spans="1:17">
      <c r="A16" s="29"/>
      <c r="B16" s="29"/>
      <c r="C16" s="29"/>
      <c r="D16" s="29"/>
      <c r="E16" s="29"/>
      <c r="F16" s="29"/>
      <c r="G16" s="29"/>
      <c r="H16" s="29"/>
      <c r="I16" s="29"/>
    </row>
    <row r="17" spans="1:15">
      <c r="A17" s="29"/>
      <c r="B17" s="29"/>
      <c r="C17" s="29"/>
      <c r="D17" s="29"/>
      <c r="E17" s="29"/>
      <c r="F17" s="29"/>
      <c r="G17" s="29"/>
      <c r="H17" s="29"/>
      <c r="I17" s="29"/>
    </row>
    <row r="18" spans="1:15">
      <c r="A18" s="29"/>
      <c r="B18" s="29"/>
      <c r="C18" s="29"/>
      <c r="D18" s="29"/>
      <c r="E18" s="29"/>
      <c r="F18" s="29"/>
      <c r="G18" s="29"/>
      <c r="H18" s="29"/>
      <c r="I18" s="29"/>
    </row>
    <row r="19" spans="1:15">
      <c r="A19" s="30"/>
      <c r="B19" s="30"/>
      <c r="C19" s="30"/>
      <c r="D19" s="30"/>
      <c r="E19" s="30"/>
      <c r="F19" s="30"/>
      <c r="G19" s="30"/>
      <c r="H19" s="30"/>
      <c r="I19" s="30"/>
    </row>
    <row r="20" spans="1:15">
      <c r="A20" s="30"/>
      <c r="B20" s="30"/>
      <c r="C20" s="30"/>
      <c r="D20" s="30"/>
      <c r="E20" s="30"/>
      <c r="F20" s="30"/>
      <c r="G20" s="30"/>
      <c r="H20" s="30"/>
      <c r="I20" s="30"/>
    </row>
    <row r="21" spans="1:15">
      <c r="A21" s="30"/>
      <c r="B21" s="30"/>
      <c r="C21" s="30"/>
      <c r="D21" s="30"/>
      <c r="E21" s="30"/>
      <c r="F21" s="30"/>
      <c r="G21" s="30"/>
      <c r="H21" s="30"/>
      <c r="I21" s="30"/>
    </row>
    <row r="22" spans="1:15">
      <c r="A22" s="30"/>
      <c r="B22" s="30"/>
      <c r="C22" s="30"/>
      <c r="D22" s="30"/>
      <c r="E22" s="30"/>
      <c r="F22" s="30"/>
      <c r="G22" s="30"/>
      <c r="H22" s="30"/>
      <c r="I22" s="30"/>
    </row>
    <row r="23" spans="1:15">
      <c r="A23" s="30"/>
      <c r="B23" s="30"/>
      <c r="C23" s="30"/>
      <c r="D23" s="30"/>
      <c r="E23" s="30"/>
      <c r="F23" s="30"/>
      <c r="G23" s="30"/>
      <c r="H23" s="30"/>
      <c r="I23" s="30"/>
    </row>
    <row r="24" spans="1:15">
      <c r="A24" s="30"/>
      <c r="B24" s="30"/>
      <c r="C24" s="30"/>
      <c r="D24" s="30"/>
      <c r="E24" s="30"/>
      <c r="F24" s="30"/>
      <c r="G24" s="30"/>
      <c r="H24" s="30"/>
      <c r="I24" s="30"/>
    </row>
    <row r="25" spans="1:15">
      <c r="A25" s="30"/>
      <c r="B25" s="30"/>
      <c r="C25" s="30"/>
      <c r="D25" s="30"/>
      <c r="E25" s="30"/>
      <c r="F25" s="30"/>
      <c r="G25" s="30"/>
      <c r="H25" s="30"/>
      <c r="I25" s="30"/>
    </row>
    <row r="28" spans="1:15" ht="31.5">
      <c r="A28" s="60" t="s">
        <v>203</v>
      </c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</row>
    <row r="29" spans="1:15" ht="17.25" thickBot="1">
      <c r="A29" s="62" t="s">
        <v>83</v>
      </c>
      <c r="B29" s="62" t="s">
        <v>21</v>
      </c>
      <c r="C29" s="62" t="s">
        <v>35</v>
      </c>
      <c r="D29" s="62" t="s">
        <v>38</v>
      </c>
      <c r="E29" s="62" t="s">
        <v>41</v>
      </c>
      <c r="F29" s="62" t="s">
        <v>42</v>
      </c>
      <c r="G29" s="62" t="s">
        <v>47</v>
      </c>
      <c r="H29" s="62" t="s">
        <v>49</v>
      </c>
      <c r="I29" s="62" t="s">
        <v>51</v>
      </c>
      <c r="J29" s="62" t="s">
        <v>52</v>
      </c>
      <c r="K29" s="62" t="s">
        <v>22</v>
      </c>
      <c r="L29" s="62" t="s">
        <v>75</v>
      </c>
      <c r="M29" s="62" t="s">
        <v>76</v>
      </c>
      <c r="N29" s="62" t="s">
        <v>77</v>
      </c>
      <c r="O29" s="62" t="s">
        <v>70</v>
      </c>
    </row>
    <row r="30" spans="1:15" ht="17.25" thickTop="1">
      <c r="A30" s="63" t="s">
        <v>34</v>
      </c>
      <c r="B30" s="41">
        <f>SUMIFS(Daily!R:R,Daily!I:I,"외주수리완료",Daily!X:X,"디에이테크",Daily!G:G,"1",Daily!F:F,"&lt;&gt;")</f>
        <v>0</v>
      </c>
      <c r="C30" s="41">
        <f>SUMIFS(Daily!R:R,Daily!I:I,"외주수리완료",Daily!X:X,"디에이테크",Daily!G:G,"2",Daily!E:E,"&lt;&gt;")</f>
        <v>2</v>
      </c>
      <c r="D30" s="41">
        <f>SUMIFS(Daily!R:R,Daily!I:I,"외주수리완료",Daily!X:X,"디에이테크",Daily!G:G,"3",Daily!E:E,"&lt;&gt;")</f>
        <v>0</v>
      </c>
      <c r="E30" s="41">
        <f>SUMIFS(Daily!R:R,Daily!I:I,"외주수리완료",Daily!X:X,"디에이테크",Daily!G:G,"4",Daily!E:E,"&lt;&gt;")</f>
        <v>1</v>
      </c>
      <c r="F30" s="41">
        <f>SUMIFS(Daily!R:R,Daily!I:I,"외주수리완료",Daily!X:X,"디에이테크",Daily!G:G,"5",Daily!E:E,"&lt;&gt;")</f>
        <v>1</v>
      </c>
      <c r="G30" s="41">
        <f>SUMIFS(Daily!R:R,Daily!I:I,"외주수리완료",Daily!X:X,"디에이테크",Daily!G:G,"6",Daily!E:E,"&lt;&gt;")</f>
        <v>1</v>
      </c>
      <c r="H30" s="41">
        <f>SUMIFS(Daily!R:R,Daily!I:I,"외주수리완료",Daily!X:X,"디에이테크",Daily!G:G,"7",Daily!E:E,"&lt;&gt;")</f>
        <v>0</v>
      </c>
      <c r="I30" s="41">
        <f>SUMIFS(Daily!R:R,Daily!I:I,"외주수리완료",Daily!X:X,"디에이테크",Daily!G:G,"8",Daily!E:E,"&lt;&gt;")</f>
        <v>0</v>
      </c>
      <c r="J30" s="41">
        <f>SUMIFS(Daily!R:R,Daily!I:I,"외주수리완료",Daily!X:X,"디에이테크",Daily!G:G,"9",Daily!E:E,"&lt;&gt;")</f>
        <v>1</v>
      </c>
      <c r="K30" s="41">
        <f>SUMIFS(Daily!R:R,Daily!I:I,"외주수리완료",Daily!X:X,"디에이테크",Daily!G:G,"10",Daily!E:E,"&lt;&gt;")</f>
        <v>0</v>
      </c>
      <c r="L30" s="41">
        <f>SUMIFS(Daily!R:R,Daily!I:I,"외주수리완료",Daily!X:X,"디에이테크",Daily!G:G,"11",Daily!E:E,"&lt;&gt;")</f>
        <v>0</v>
      </c>
      <c r="M30" s="41">
        <f>SUMIFS(Daily!R:R,Daily!I:I,"외주수리완료",Daily!X:X,"디에이테크",Daily!G:G,"12",Daily!E:E,"&lt;&gt;")</f>
        <v>0</v>
      </c>
      <c r="N30" s="64">
        <f>SUM(B30:M30)</f>
        <v>6</v>
      </c>
      <c r="O30" s="65">
        <f>N30/N36</f>
        <v>6.4516129032258063E-2</v>
      </c>
    </row>
    <row r="31" spans="1:15">
      <c r="A31" s="66" t="s">
        <v>29</v>
      </c>
      <c r="B31" s="67">
        <f>SUMIFS(Daily!R:R,Daily!I:I,"외주수리완료",Daily!X:X,"큐텍코리아",Daily!G:G,"1",Daily!F:F,"&lt;&gt;")</f>
        <v>3</v>
      </c>
      <c r="C31" s="67">
        <f>SUMIFS(Daily!R:R,Daily!I:I,"외주수리완료",Daily!X:X,"큐텍코리아",Daily!G:G,"2",Daily!E:E,"&lt;&gt;")</f>
        <v>13</v>
      </c>
      <c r="D31" s="67">
        <f>SUMIFS(Daily!R:R,Daily!I:I,"외주수리완료",Daily!X:X,"큐텍코리아",Daily!G:G,"3",Daily!E:E,"&lt;&gt;")</f>
        <v>6</v>
      </c>
      <c r="E31" s="67">
        <f>SUMIFS(Daily!R:R,Daily!I:I,"외주수리완료",Daily!X:X,"큐텍코리아",Daily!G:G,"4",Daily!E:E,"&lt;&gt;")</f>
        <v>5</v>
      </c>
      <c r="F31" s="67">
        <f>SUMIFS(Daily!R:R,Daily!I:I,"외주수리완료",Daily!X:X,"큐텍코리아",Daily!G:G,"5",Daily!E:E,"&lt;&gt;")</f>
        <v>3</v>
      </c>
      <c r="G31" s="67">
        <f>SUMIFS(Daily!R:R,Daily!I:I,"외주수리완료",Daily!X:X,"큐텍코리아",Daily!G:G,"6",Daily!E:E,"&lt;&gt;")</f>
        <v>4</v>
      </c>
      <c r="H31" s="67">
        <f>SUMIFS(Daily!R:R,Daily!I:I,"외주수리완료",Daily!X:X,"큐텍코리아",Daily!G:G,"7",Daily!E:E,"&lt;&gt;")</f>
        <v>6</v>
      </c>
      <c r="I31" s="67">
        <f>SUMIFS(Daily!R:R,Daily!I:I,"외주수리완료",Daily!X:X,"큐텍코리아",Daily!G:G,"8",Daily!E:E,"&lt;&gt;")</f>
        <v>4</v>
      </c>
      <c r="J31" s="67">
        <f>SUMIFS(Daily!R:R,Daily!I:I,"외주수리완료",Daily!X:X,"큐텍코리아",Daily!G:G,"9",Daily!E:E,"&lt;&gt;")</f>
        <v>0</v>
      </c>
      <c r="K31" s="67">
        <f>SUMIFS(Daily!R:R,Daily!I:I,"외주수리완료",Daily!X:X,"큐텍코리아",Daily!G:G,"10",Daily!E:E,"&lt;&gt;")</f>
        <v>3</v>
      </c>
      <c r="L31" s="67">
        <f>SUMIFS(Daily!R:R,Daily!I:I,"외주수리완료",Daily!X:X,"큐텍코리아",Daily!G:G,"11",Daily!E:E,"&lt;&gt;")</f>
        <v>2</v>
      </c>
      <c r="M31" s="67">
        <f>SUMIFS(Daily!R:R,Daily!I:I,"외주수리완료",Daily!X:X,"큐텍코리아",Daily!G:G,"12",Daily!E:E,"&lt;&gt;")</f>
        <v>2</v>
      </c>
      <c r="N31" s="64">
        <f t="shared" ref="N31:N35" si="2">SUM(B31:M31)</f>
        <v>51</v>
      </c>
      <c r="O31" s="68">
        <f>N31/N36</f>
        <v>0.54838709677419351</v>
      </c>
    </row>
    <row r="32" spans="1:15">
      <c r="A32" s="69" t="s">
        <v>5175</v>
      </c>
      <c r="B32" s="67">
        <f>SUMIFS(Daily!R:R,Daily!I:I,"외주수리완료",Daily!X:X,"이엔아이",Daily!G:G,"1",Daily!E:E,"&lt;&gt;")</f>
        <v>0</v>
      </c>
      <c r="C32" s="67">
        <f>SUMIFS(Daily!R:R,Daily!I:I,"외주수리완료",Daily!X:X,"이엔아이",Daily!G:G,"2",Daily!E:E,"&lt;&gt;")</f>
        <v>0</v>
      </c>
      <c r="D32" s="67">
        <f>SUMIFS(Daily!R:R,Daily!I:I,"외주수리완료",Daily!X:X,"이엔아이",Daily!G:G,"3",Daily!E:E,"&lt;&gt;")</f>
        <v>0</v>
      </c>
      <c r="E32" s="67">
        <f>SUMIFS(Daily!R:R,Daily!I:I,"외주수리완료",Daily!X:X,"이엔아이",Daily!G:G,"4",Daily!E:E,"&lt;&gt;")</f>
        <v>0</v>
      </c>
      <c r="F32" s="67">
        <f>SUMIFS(Daily!R:R,Daily!I:I,"외주수리완료",Daily!X:X,"이엔아이",Daily!G:G,"5",Daily!E:E,"&lt;&gt;")</f>
        <v>0</v>
      </c>
      <c r="G32" s="67">
        <f>SUMIFS(Daily!R:R,Daily!I:I,"외주수리완료",Daily!X:X,"이엔아이",Daily!G:G,"6",Daily!E:E,"&lt;&gt;")</f>
        <v>0</v>
      </c>
      <c r="H32" s="67">
        <f>SUMIFS(Daily!R:R,Daily!I:I,"외주수리완료",Daily!X:X,"이엔아이",Daily!G:G,"7",Daily!E:E,"&lt;&gt;")</f>
        <v>0</v>
      </c>
      <c r="I32" s="67">
        <f>SUMIFS(Daily!R:R,Daily!I:I,"외주수리완료",Daily!X:X,"이엔아이",Daily!G:G,"8",Daily!E:E,"&lt;&gt;")</f>
        <v>0</v>
      </c>
      <c r="J32" s="67">
        <f>SUMIFS(Daily!R:R,Daily!I:I,"외주수리완료",Daily!X:X,"이엔아이",Daily!G:G,"9",Daily!E:E,"&lt;&gt;")</f>
        <v>0</v>
      </c>
      <c r="K32" s="67">
        <f>SUMIFS(Daily!R:R,Daily!I:I,"외주수리완료",Daily!X:X,"이엔아이",Daily!G:G,"10",Daily!E:E,"&lt;&gt;")</f>
        <v>0</v>
      </c>
      <c r="L32" s="67">
        <f>SUMIFS(Daily!R:R,Daily!I:I,"외주수리완료",Daily!X:X,"이엔아이",Daily!G:G,"11",Daily!E:E,"&lt;&gt;")</f>
        <v>0</v>
      </c>
      <c r="M32" s="67">
        <f>SUMIFS(Daily!R:R,Daily!I:I,"외주수리완료",Daily!X:X,"이엔아이",Daily!G:G,"12",Daily!E:E,"&lt;&gt;")</f>
        <v>0</v>
      </c>
      <c r="N32" s="64">
        <f t="shared" si="2"/>
        <v>0</v>
      </c>
      <c r="O32" s="68">
        <f>N32/N36</f>
        <v>0</v>
      </c>
    </row>
    <row r="33" spans="1:15">
      <c r="A33" s="70" t="s">
        <v>39</v>
      </c>
      <c r="B33" s="67">
        <f>SUMIFS(Daily!R:R,Daily!I:I,"외주수리완료",Daily!X:X,"씨맥스",Daily!G:G,"1",Daily!E:E,"&lt;&gt;")</f>
        <v>3</v>
      </c>
      <c r="C33" s="67">
        <f>SUMIFS(Daily!R:R,Daily!I:I,"외주수리완료",Daily!X:X,"씨맥스",Daily!G:G,"2",Daily!E:E,"&lt;&gt;")</f>
        <v>10</v>
      </c>
      <c r="D33" s="67">
        <f>SUMIFS(Daily!R:R,Daily!I:I,"외주수리완료",Daily!X:X,"씨맥스",Daily!G:G,"3",Daily!E:E,"&lt;&gt;")</f>
        <v>0</v>
      </c>
      <c r="E33" s="67">
        <f>SUMIFS(Daily!R:R,Daily!I:I,"외주수리완료",Daily!X:X,"씨맥스",Daily!G:G,"4",Daily!E:E,"&lt;&gt;")</f>
        <v>0</v>
      </c>
      <c r="F33" s="67">
        <f>SUMIFS(Daily!R:R,Daily!I:I,"외주수리완료",Daily!X:X,"씨맥스",Daily!G:G,"5",Daily!E:E,"&lt;&gt;")</f>
        <v>0</v>
      </c>
      <c r="G33" s="67">
        <f>SUMIFS(Daily!R:R,Daily!I:I,"외주수리완료",Daily!X:X,"씨맥스",Daily!G:G,"6",Daily!E:E,"&lt;&gt;")</f>
        <v>0</v>
      </c>
      <c r="H33" s="67">
        <f>SUMIFS(Daily!R:R,Daily!I:I,"외주수리완료",Daily!X:X,"씨맥스",Daily!G:G,"7",Daily!E:E,"&lt;&gt;")</f>
        <v>0</v>
      </c>
      <c r="I33" s="67">
        <f>SUMIFS(Daily!R:R,Daily!I:I,"외주수리완료",Daily!X:X,"씨맥스",Daily!G:G,"8",Daily!E:E,"&lt;&gt;")</f>
        <v>0</v>
      </c>
      <c r="J33" s="67">
        <f>SUMIFS(Daily!R:R,Daily!I:I,"외주수리완료",Daily!X:X,"씨맥스",Daily!G:G,"9",Daily!E:E,"&lt;&gt;")</f>
        <v>0</v>
      </c>
      <c r="K33" s="67">
        <f>SUMIFS(Daily!R:R,Daily!I:I,"외주수리완료",Daily!X:X,"씨맥스",Daily!G:G,"10",Daily!E:E,"&lt;&gt;")</f>
        <v>0</v>
      </c>
      <c r="L33" s="67">
        <f>SUMIFS(Daily!R:R,Daily!I:I,"외주수리완료",Daily!X:X,"씨맥스",Daily!G:G,"11",Daily!E:E,"&lt;&gt;")</f>
        <v>0</v>
      </c>
      <c r="M33" s="67">
        <f>SUMIFS(Daily!R:R,Daily!I:I,"외주수리완료",Daily!X:X,"씨맥스",Daily!G:G,"12",Daily!E:E,"&lt;&gt;")</f>
        <v>0</v>
      </c>
      <c r="N33" s="64">
        <f t="shared" si="2"/>
        <v>13</v>
      </c>
      <c r="O33" s="68">
        <f>N33/N36</f>
        <v>0.13978494623655913</v>
      </c>
    </row>
    <row r="34" spans="1:15">
      <c r="A34" s="71" t="s">
        <v>43</v>
      </c>
      <c r="B34" s="41">
        <f>SUMIFS(Daily!R:R,Daily!I:I,"외주수리완료",Daily!X:X,"인베닉스",Daily!G:G,"1",Daily!E:E,"&lt;&gt;")</f>
        <v>0</v>
      </c>
      <c r="C34" s="41">
        <f>SUMIFS(Daily!R:R,Daily!I:I,"외주수리완료",Daily!X:X,"인베닉스",Daily!G:G,"2",Daily!E:E,"&lt;&gt;")</f>
        <v>0</v>
      </c>
      <c r="D34" s="41">
        <f>SUMIFS(Daily!R:R,Daily!I:I,"외주수리완료",Daily!X:X,"인베닉스",Daily!G:G,"3",Daily!E:E,"&lt;&gt;")</f>
        <v>0</v>
      </c>
      <c r="E34" s="41">
        <f>SUMIFS(Daily!R:R,Daily!I:I,"외주수리완료",Daily!X:X,"인베닉스",Daily!G:G,"4",Daily!E:E,"&lt;&gt;")</f>
        <v>0</v>
      </c>
      <c r="F34" s="41">
        <f>SUMIFS(Daily!R:R,Daily!I:I,"외주수리완료",Daily!X:X,"인베닉스",Daily!G:G,"5",Daily!E:E,"&lt;&gt;")</f>
        <v>0</v>
      </c>
      <c r="G34" s="41">
        <f>SUMIFS(Daily!R:R,Daily!I:I,"외주수리완료",Daily!X:X,"인베닉스",Daily!G:G,"6",Daily!E:E,"&lt;&gt;")</f>
        <v>0</v>
      </c>
      <c r="H34" s="41">
        <f>SUMIFS(Daily!R:R,Daily!I:I,"외주수리완료",Daily!X:X,"인베닉스",Daily!G:G,"7",Daily!E:E,"&lt;&gt;")</f>
        <v>0</v>
      </c>
      <c r="I34" s="41">
        <f>SUMIFS(Daily!R:R,Daily!I:I,"외주수리완료",Daily!X:X,"인베닉스",Daily!G:G,"8",Daily!E:E,"&lt;&gt;")</f>
        <v>0</v>
      </c>
      <c r="J34" s="41">
        <f>SUMIFS(Daily!R:R,Daily!I:I,"외주수리완료",Daily!X:X,"인베닉스",Daily!G:G,"9",Daily!E:E,"&lt;&gt;")</f>
        <v>0</v>
      </c>
      <c r="K34" s="41">
        <f>SUMIFS(Daily!R:R,Daily!I:I,"외주수리완료",Daily!X:X,"인베닉스",Daily!G:G,"10",Daily!E:E,"&lt;&gt;")</f>
        <v>0</v>
      </c>
      <c r="L34" s="41">
        <f>SUMIFS(Daily!R:R,Daily!I:I,"외주수리완료",Daily!X:X,"인베닉스",Daily!G:G,"11",Daily!E:E,"&lt;&gt;")</f>
        <v>0</v>
      </c>
      <c r="M34" s="41">
        <f>SUMIFS(Daily!R:R,Daily!I:I,"외주수리완료",Daily!X:X,"인베닉스",Daily!G:G,"12",Daily!E:E,"&lt;&gt;")</f>
        <v>0</v>
      </c>
      <c r="N34" s="64">
        <f t="shared" si="2"/>
        <v>0</v>
      </c>
      <c r="O34" s="68">
        <f>N34/N36</f>
        <v>0</v>
      </c>
    </row>
    <row r="35" spans="1:15">
      <c r="A35" s="186" t="s">
        <v>178</v>
      </c>
      <c r="B35" s="41">
        <f>SUMIFS(Daily!R:R,Daily!I:I,"외주수리완료",Daily!X:X,"기타",Daily!G:G,"1",Daily!E:E,"&lt;&gt;")</f>
        <v>1</v>
      </c>
      <c r="C35" s="41">
        <f>SUMIFS(Daily!R:R,Daily!I:I,"외주수리완료",Daily!X:X,"기타",Daily!G:G,"2",Daily!E:E,"&lt;&gt;")</f>
        <v>0</v>
      </c>
      <c r="D35" s="41">
        <f>SUMIFS(Daily!R:R,Daily!I:I,"외주수리완료",Daily!X:X,"기타",Daily!G:G,"3",Daily!E:E,"&lt;&gt;")</f>
        <v>0</v>
      </c>
      <c r="E35" s="41">
        <f>SUMIFS(Daily!R:R,Daily!I:I,"외주수리완료",Daily!X:X,"기타",Daily!G:G,"4",Daily!E:E,"&lt;&gt;")</f>
        <v>0</v>
      </c>
      <c r="F35" s="41">
        <f>SUMIFS(Daily!R:R,Daily!I:I,"외주수리완료",Daily!X:X,"기타",Daily!G:G,"5",Daily!E:E,"&lt;&gt;")</f>
        <v>0</v>
      </c>
      <c r="G35" s="41">
        <f>SUMIFS(Daily!R:R,Daily!I:I,"외주수리완료",Daily!X:X,"기타",Daily!G:G,"6",Daily!E:E,"&lt;&gt;")</f>
        <v>2</v>
      </c>
      <c r="H35" s="41">
        <f>SUMIFS(Daily!R:R,Daily!I:I,"외주수리완료",Daily!X:X,"기타",Daily!G:G,"7",Daily!E:E,"&lt;&gt;")</f>
        <v>2</v>
      </c>
      <c r="I35" s="41">
        <f>SUMIFS(Daily!R:R,Daily!I:I,"외주수리완료",Daily!X:X,"기타",Daily!G:G,"8",Daily!E:E,"&lt;&gt;")</f>
        <v>5</v>
      </c>
      <c r="J35" s="41">
        <f>SUMIFS(Daily!R:R,Daily!I:I,"외주수리완료",Daily!X:X,"기타",Daily!G:G,"9",Daily!E:E,"&lt;&gt;")</f>
        <v>0</v>
      </c>
      <c r="K35" s="41">
        <f>SUMIFS(Daily!R:R,Daily!I:I,"외주수리완료",Daily!X:X,"기타",Daily!G:G,"10",Daily!E:E,"&lt;&gt;")</f>
        <v>0</v>
      </c>
      <c r="L35" s="41">
        <f>SUMIFS(Daily!R:R,Daily!I:I,"외주수리완료",Daily!X:X,"기타",Daily!G:G,"11",Daily!E:E,"&lt;&gt;")</f>
        <v>0</v>
      </c>
      <c r="M35" s="41">
        <f>SUMIFS(Daily!R:R,Daily!I:I,"외주수리완료",Daily!X:X,"기타",Daily!G:G,"12",Daily!E:E,"&lt;&gt;")</f>
        <v>13</v>
      </c>
      <c r="N35" s="64">
        <f t="shared" si="2"/>
        <v>23</v>
      </c>
      <c r="O35" s="68">
        <f>N35/N36</f>
        <v>0.24731182795698925</v>
      </c>
    </row>
    <row r="36" spans="1:15">
      <c r="A36" s="72" t="s">
        <v>77</v>
      </c>
      <c r="B36" s="72">
        <f t="shared" ref="B36:O36" si="3">SUM(B30:B35)</f>
        <v>7</v>
      </c>
      <c r="C36" s="72">
        <f t="shared" si="3"/>
        <v>25</v>
      </c>
      <c r="D36" s="72">
        <f t="shared" si="3"/>
        <v>6</v>
      </c>
      <c r="E36" s="72">
        <f t="shared" si="3"/>
        <v>6</v>
      </c>
      <c r="F36" s="72">
        <f t="shared" si="3"/>
        <v>4</v>
      </c>
      <c r="G36" s="72">
        <f t="shared" si="3"/>
        <v>7</v>
      </c>
      <c r="H36" s="72">
        <f t="shared" si="3"/>
        <v>8</v>
      </c>
      <c r="I36" s="72">
        <f t="shared" si="3"/>
        <v>9</v>
      </c>
      <c r="J36" s="72">
        <f t="shared" si="3"/>
        <v>1</v>
      </c>
      <c r="K36" s="72">
        <f t="shared" si="3"/>
        <v>3</v>
      </c>
      <c r="L36" s="72">
        <f t="shared" si="3"/>
        <v>2</v>
      </c>
      <c r="M36" s="72">
        <f t="shared" si="3"/>
        <v>15</v>
      </c>
      <c r="N36" s="72">
        <f t="shared" si="3"/>
        <v>93</v>
      </c>
      <c r="O36" s="73">
        <f t="shared" si="3"/>
        <v>0.99999999999999989</v>
      </c>
    </row>
    <row r="37" spans="1:15">
      <c r="A37" s="74"/>
      <c r="B37" s="74"/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</row>
    <row r="38" spans="1:15">
      <c r="A38" s="74"/>
      <c r="B38" s="74"/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</row>
    <row r="39" spans="1:15">
      <c r="A39" s="74"/>
      <c r="B39" s="74"/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</row>
    <row r="40" spans="1:15">
      <c r="A40" s="74"/>
      <c r="B40" s="74"/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</row>
    <row r="41" spans="1:15">
      <c r="A41" s="74"/>
      <c r="B41" s="74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</row>
    <row r="42" spans="1:15">
      <c r="A42" s="74"/>
      <c r="B42" s="74"/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</row>
    <row r="43" spans="1:15">
      <c r="A43" s="74"/>
      <c r="B43" s="74"/>
      <c r="C43" s="74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</row>
    <row r="44" spans="1:15">
      <c r="A44" s="74"/>
      <c r="B44" s="74"/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</row>
    <row r="45" spans="1:15">
      <c r="A45" s="74"/>
      <c r="B45" s="74"/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</row>
    <row r="46" spans="1:15">
      <c r="A46" s="74"/>
      <c r="B46" s="74"/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</row>
    <row r="47" spans="1:15">
      <c r="A47" s="74"/>
      <c r="B47" s="74"/>
      <c r="C47" s="74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</row>
    <row r="48" spans="1:15">
      <c r="A48" s="74"/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</row>
    <row r="49" spans="1:15">
      <c r="A49" s="74"/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</row>
    <row r="50" spans="1:15">
      <c r="A50" s="74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</row>
    <row r="51" spans="1:15">
      <c r="A51" s="74"/>
      <c r="B51" s="74"/>
      <c r="C51" s="74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</row>
    <row r="52" spans="1:15">
      <c r="A52" s="74"/>
      <c r="B52" s="74"/>
      <c r="C52" s="74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</row>
    <row r="53" spans="1:15">
      <c r="A53" s="74"/>
      <c r="B53" s="74"/>
      <c r="C53" s="74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</row>
    <row r="54" spans="1:15">
      <c r="A54" s="74"/>
      <c r="B54" s="74"/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</row>
    <row r="55" spans="1:15">
      <c r="A55" s="74"/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</row>
    <row r="56" spans="1:15">
      <c r="A56" s="74"/>
      <c r="B56" s="74"/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</row>
    <row r="58" spans="1:15">
      <c r="A58" s="74"/>
      <c r="B58" s="74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</row>
    <row r="59" spans="1:15">
      <c r="A59" s="74"/>
      <c r="B59" s="74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3">
    <tabColor theme="0"/>
  </sheetPr>
  <dimension ref="B1:M20"/>
  <sheetViews>
    <sheetView showGridLines="0" zoomScaleNormal="100" workbookViewId="0">
      <selection activeCell="C7" sqref="C7"/>
    </sheetView>
  </sheetViews>
  <sheetFormatPr defaultRowHeight="16.5"/>
  <cols>
    <col min="1" max="1" width="3.875" style="17" customWidth="1"/>
    <col min="2" max="2" width="10.25" style="17" customWidth="1"/>
    <col min="3" max="3" width="12.5" style="17" customWidth="1"/>
    <col min="4" max="4" width="13.875" style="17" customWidth="1"/>
    <col min="5" max="16384" width="9" style="17"/>
  </cols>
  <sheetData>
    <row r="1" spans="2:13">
      <c r="B1" s="222" t="s">
        <v>71</v>
      </c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2:13"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</row>
    <row r="3" spans="2:13" ht="17.25" thickBot="1"/>
    <row r="4" spans="2:13" ht="17.25" thickBot="1">
      <c r="B4" s="239" t="s">
        <v>53</v>
      </c>
      <c r="C4" s="239" t="s">
        <v>72</v>
      </c>
      <c r="D4" s="241" t="s">
        <v>73</v>
      </c>
    </row>
    <row r="5" spans="2:13" ht="17.25" thickBot="1">
      <c r="B5" s="239"/>
      <c r="C5" s="240"/>
      <c r="D5" s="240"/>
    </row>
    <row r="6" spans="2:13" ht="17.25" thickBot="1">
      <c r="B6" s="31" t="s">
        <v>59</v>
      </c>
      <c r="C6" s="32">
        <f>SUMIFS(Daily!R:R,Daily!I:I,"수리완료",Daily!M:M,"Ionizer",Daily!G:G,1,Daily!F:F,"&lt;&gt;")+SUMIFS(Daily!R:R,Daily!I:I,"외주수리완료",Daily!M:M,"Ionizer",Daily!G:G,1,Daily!F:F,"&lt;&gt;")</f>
        <v>8</v>
      </c>
      <c r="D6" s="32">
        <f>SUMIFS(Daily!V:V,Daily!I:I,"수리완료",Daily!M:M,"Ionizer",Daily!G:G,1,Daily!F:F,"&lt;&gt;")+SUMIFS(Daily!V:V,Daily!I:I,"외주수리완료",Daily!M:M,"Ionizer",Daily!G:G,1,Daily!F:F,"&lt;&gt;")</f>
        <v>4166</v>
      </c>
    </row>
    <row r="7" spans="2:13" ht="17.25" thickBot="1">
      <c r="B7" s="31" t="s">
        <v>60</v>
      </c>
      <c r="C7" s="32">
        <f>SUMIFS(Daily!R:R,Daily!I:I,"수리완료",Daily!M:M,"Ionizer",Daily!G:G,2,Daily!F:F,"&lt;&gt;")+SUMIFS(Daily!R:R,Daily!I:I,"외주수리완료",Daily!M:M,"Ionizer",Daily!G:G,2,Daily!F:F,"&lt;&gt;")</f>
        <v>6</v>
      </c>
      <c r="D7" s="32">
        <f>SUMIFS(Daily!V:V,Daily!I:I,"수리완료",Daily!M:M,"Ionizer",Daily!G:G,2,Daily!F:F,"&lt;&gt;")+SUMIFS(Daily!V:V,Daily!I:I,"외주수리완료",Daily!M:M,"Ionizer",Daily!G:G,2,Daily!F:F,"&lt;&gt;")</f>
        <v>2122</v>
      </c>
    </row>
    <row r="8" spans="2:13" ht="17.25" thickBot="1">
      <c r="B8" s="31" t="s">
        <v>61</v>
      </c>
      <c r="C8" s="32">
        <f>SUMIFS(Daily!R:R,Daily!I:I,"수리완료",Daily!M:M,"Ionizer",Daily!G:G,3,Daily!F:F,"&lt;&gt;")+SUMIFS(Daily!R:R,Daily!I:I,"외주수리완료",Daily!M:M,"Ionizer",Daily!G:G,3,Daily!F:F,"&lt;&gt;")</f>
        <v>12</v>
      </c>
      <c r="D8" s="32">
        <f>SUMIFS(Daily!V:V,Daily!I:I,"수리완료",Daily!M:M,"Ionizer",Daily!G:G,3,Daily!F:F,"&lt;&gt;")+SUMIFS(Daily!V:V,Daily!I:I,"외주수리완료",Daily!M:M,"Ionizer",Daily!G:G,3,Daily!F:F,"&lt;&gt;")</f>
        <v>5460</v>
      </c>
    </row>
    <row r="9" spans="2:13" ht="17.25" thickBot="1">
      <c r="B9" s="31" t="s">
        <v>62</v>
      </c>
      <c r="C9" s="32">
        <f>SUMIFS(Daily!R:R,Daily!I:I,"수리완료",Daily!M:M,"Ionizer",Daily!G:G,4,Daily!F:F,"&lt;&gt;")+SUMIFS(Daily!R:R,Daily!I:I,"외주수리완료",Daily!M:M,"Ionizer",Daily!G:G,4,Daily!F:F,"&lt;&gt;")</f>
        <v>3</v>
      </c>
      <c r="D9" s="32">
        <f>SUMIFS(Daily!V:V,Daily!I:I,"수리완료",Daily!M:M,"Ionizer",Daily!G:G,4,Daily!F:F,"&lt;&gt;")+SUMIFS(Daily!V:V,Daily!I:I,"외주수리완료",Daily!M:M,"Ionizer",Daily!G:G,4,Daily!F:F,"&lt;&gt;")</f>
        <v>1350</v>
      </c>
    </row>
    <row r="10" spans="2:13" ht="17.25" thickBot="1">
      <c r="B10" s="31" t="s">
        <v>46</v>
      </c>
      <c r="C10" s="32">
        <f>SUMIFS(Daily!R:R,Daily!I:I,"수리완료",Daily!M:M,"Ionizer",Daily!G:G,5,Daily!F:F,"&lt;&gt;")+SUMIFS(Daily!R:R,Daily!I:I,"외주수리완료",Daily!M:M,"Ionizer",Daily!G:G,5,Daily!F:F,"&lt;&gt;")</f>
        <v>20</v>
      </c>
      <c r="D10" s="32">
        <f>SUMIFS(Daily!V:V,Daily!I:I,"수리완료",Daily!M:M,"Ionizer",Daily!G:G,5,Daily!F:F,"&lt;&gt;")+SUMIFS(Daily!V:V,Daily!I:I,"외주수리완료",Daily!M:M,"Ionizer",Daily!G:G,5,Daily!F:F,"&lt;&gt;")</f>
        <v>9929</v>
      </c>
    </row>
    <row r="11" spans="2:13" ht="17.25" thickBot="1">
      <c r="B11" s="31" t="s">
        <v>63</v>
      </c>
      <c r="C11" s="32">
        <f>SUMIFS(Daily!R:R,Daily!I:I,"수리완료",Daily!M:M,"Ionizer",Daily!G:G,6,Daily!F:F,"&lt;&gt;")+SUMIFS(Daily!R:R,Daily!I:I,"외주수리완료",Daily!M:M,"Ionizer",Daily!G:G,6,Daily!F:F,"&lt;&gt;")</f>
        <v>11</v>
      </c>
      <c r="D11" s="32">
        <f>SUMIFS(Daily!V:V,Daily!I:I,"수리완료",Daily!M:M,"Ionizer",Daily!G:G,6,Daily!F:F,"&lt;&gt;")+SUMIFS(Daily!V:V,Daily!I:I,"외주수리완료",Daily!M:M,"Ionizer",Daily!G:G,6,Daily!F:F,"&lt;&gt;")</f>
        <v>5420</v>
      </c>
    </row>
    <row r="12" spans="2:13" ht="17.25" thickBot="1">
      <c r="B12" s="31" t="s">
        <v>48</v>
      </c>
      <c r="C12" s="32">
        <f>SUMIFS(Daily!R:R,Daily!I:I,"수리완료",Daily!M:M,"Ionizer",Daily!G:G,7,Daily!F:F,"&lt;&gt;")+SUMIFS(Daily!R:R,Daily!I:I,"외주수리완료",Daily!M:M,"Ionizer",Daily!G:G,7,Daily!F:F,"&lt;&gt;")</f>
        <v>28</v>
      </c>
      <c r="D12" s="32">
        <f>SUMIFS(Daily!V:V,Daily!I:I,"수리완료",Daily!M:M,"Ionizer",Daily!G:G,7,Daily!F:F,"&lt;&gt;")+SUMIFS(Daily!V:V,Daily!I:I,"외주수리완료",Daily!M:M,"Ionizer",Daily!G:G,7,Daily!F:F,"&lt;&gt;")</f>
        <v>10911.5</v>
      </c>
    </row>
    <row r="13" spans="2:13" ht="17.25" thickBot="1">
      <c r="B13" s="31" t="s">
        <v>64</v>
      </c>
      <c r="C13" s="32">
        <f>SUMIFS(Daily!R:R,Daily!I:I,"수리완료",Daily!M:M,"Ionizer",Daily!G:G,8,Daily!F:F,"&lt;&gt;")+SUMIFS(Daily!R:R,Daily!I:I,"외주수리완료",Daily!M:M,"Ionizer",Daily!G:G,8,Daily!F:F,"&lt;&gt;")</f>
        <v>13</v>
      </c>
      <c r="D13" s="32">
        <f>SUMIFS(Daily!V:V,Daily!I:I,"수리완료",Daily!M:M,"Ionizer",Daily!G:G,8,Daily!F:F,"&lt;&gt;")+SUMIFS(Daily!V:V,Daily!I:I,"외주수리완료",Daily!M:M,"Ionizer",Daily!G:G,8,Daily!F:F,"&lt;&gt;")</f>
        <v>5337.5</v>
      </c>
    </row>
    <row r="14" spans="2:13" ht="17.25" thickBot="1">
      <c r="B14" s="31" t="s">
        <v>65</v>
      </c>
      <c r="C14" s="32">
        <f>SUMIFS(Daily!R:R,Daily!I:I,"수리완료",Daily!M:M,"Ionizer",Daily!G:G,9,Daily!F:F,"&lt;&gt;")+SUMIFS(Daily!R:R,Daily!I:I,"외주수리완료",Daily!M:M,"Ionizer",Daily!G:G,9,Daily!F:F,"&lt;&gt;")</f>
        <v>8</v>
      </c>
      <c r="D14" s="32">
        <f>SUMIFS(Daily!V:V,Daily!I:I,"수리완료",Daily!M:M,"Ionizer",Daily!G:G,9,Daily!F:F,"&lt;&gt;")+SUMIFS(Daily!V:V,Daily!I:I,"외주수리완료",Daily!M:M,"Ionizer",Daily!G:G,9,Daily!F:F,"&lt;&gt;")</f>
        <v>4376</v>
      </c>
    </row>
    <row r="15" spans="2:13" ht="17.25" thickBot="1">
      <c r="B15" s="31" t="s">
        <v>66</v>
      </c>
      <c r="C15" s="32">
        <f>SUMIFS(Daily!R:R,Daily!I:I,"수리완료",Daily!M:M,"Ionizer",Daily!G:G,10,Daily!F:F,"&lt;&gt;")+SUMIFS(Daily!R:R,Daily!I:I,"외주수리완료",Daily!M:M,"Ionizer",Daily!G:G,10,Daily!F:F,"&lt;&gt;")</f>
        <v>12</v>
      </c>
      <c r="D15" s="32">
        <f>SUMIFS(Daily!V:V,Daily!I:I,"수리완료",Daily!M:M,"Ionizer",Daily!G:G,10,Daily!F:F,"&lt;&gt;")+SUMIFS(Daily!V:V,Daily!I:I,"외주수리완료",Daily!M:M,"Ionizer",Daily!G:G,10,Daily!F:F,"&lt;&gt;")</f>
        <v>5105</v>
      </c>
    </row>
    <row r="16" spans="2:13" ht="17.25" thickBot="1">
      <c r="B16" s="31" t="s">
        <v>67</v>
      </c>
      <c r="C16" s="32">
        <f>SUMIFS(Daily!R:R,Daily!I:I,"수리완료",Daily!M:M,"Ionizer",Daily!G:G,11,Daily!F:F,"&lt;&gt;")+SUMIFS(Daily!R:R,Daily!I:I,"외주수리완료",Daily!M:M,"Ionizer",Daily!G:G,11,Daily!F:F,"&lt;&gt;")</f>
        <v>9</v>
      </c>
      <c r="D16" s="32">
        <f>SUMIFS(Daily!V:V,Daily!I:I,"수리완료",Daily!M:M,"Ionizer",Daily!G:G,11,Daily!F:F,"&lt;&gt;")+SUMIFS(Daily!V:V,Daily!I:I,"외주수리완료",Daily!M:M,"Ionizer",Daily!G:G,11,Daily!F:F,"&lt;&gt;")</f>
        <v>4865</v>
      </c>
    </row>
    <row r="17" spans="2:4" ht="17.25" thickBot="1">
      <c r="B17" s="31" t="s">
        <v>68</v>
      </c>
      <c r="C17" s="32">
        <f>SUMIFS(Daily!R:R,Daily!I:I,"수리완료",Daily!M:M,"Ionizer",Daily!G:G,12,Daily!F:F,"&lt;&gt;")+SUMIFS(Daily!R:R,Daily!I:I,"외주수리완료",Daily!M:M,"Ionizer",Daily!G:G,12,Daily!F:F,"&lt;&gt;")</f>
        <v>8</v>
      </c>
      <c r="D17" s="32">
        <f>SUMIFS(Daily!V:V,Daily!I:I,"수리완료",Daily!M:M,"Ionizer",Daily!G:G,12,Daily!F:F,"&lt;&gt;")+SUMIFS(Daily!V:V,Daily!I:I,"외주수리완료",Daily!M:M,"Ionizer",Daily!G:G,12,Daily!F:F,"&lt;&gt;")</f>
        <v>2995.5</v>
      </c>
    </row>
    <row r="18" spans="2:4" ht="17.25" thickBot="1">
      <c r="B18" s="26" t="s">
        <v>74</v>
      </c>
      <c r="C18" s="33">
        <f>SUM(C6:C17)</f>
        <v>138</v>
      </c>
      <c r="D18" s="33">
        <f>SUM(D6:D17)</f>
        <v>62037.5</v>
      </c>
    </row>
    <row r="19" spans="2:4">
      <c r="C19" s="23"/>
      <c r="D19" s="23"/>
    </row>
    <row r="20" spans="2:4">
      <c r="C20" s="23"/>
      <c r="D20" s="23"/>
    </row>
  </sheetData>
  <mergeCells count="4">
    <mergeCell ref="B1:M2"/>
    <mergeCell ref="B4:B5"/>
    <mergeCell ref="C4:C5"/>
    <mergeCell ref="D4:D5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B1:L17"/>
  <sheetViews>
    <sheetView showGridLines="0" workbookViewId="0">
      <selection activeCell="F16" sqref="F16"/>
    </sheetView>
  </sheetViews>
  <sheetFormatPr defaultRowHeight="16.5"/>
  <cols>
    <col min="1" max="1" width="2.75" customWidth="1"/>
    <col min="2" max="2" width="11.875" style="15" customWidth="1"/>
    <col min="3" max="6" width="12.375" style="15" customWidth="1"/>
    <col min="7" max="12" width="12.375" customWidth="1"/>
  </cols>
  <sheetData>
    <row r="1" spans="2:12" ht="26.25">
      <c r="B1" s="79" t="s">
        <v>92</v>
      </c>
      <c r="C1" s="80"/>
      <c r="D1" s="80"/>
      <c r="E1" s="80"/>
      <c r="F1" s="80"/>
      <c r="G1" s="30"/>
      <c r="H1" s="30"/>
      <c r="I1" s="30"/>
      <c r="J1" s="30"/>
      <c r="K1" s="30"/>
      <c r="L1" s="30"/>
    </row>
    <row r="2" spans="2:12" ht="21" customHeight="1">
      <c r="B2" s="242" t="s">
        <v>93</v>
      </c>
      <c r="C2" s="245" t="s">
        <v>94</v>
      </c>
      <c r="D2" s="246"/>
      <c r="E2" s="246"/>
      <c r="F2" s="246"/>
      <c r="G2" s="246"/>
      <c r="H2" s="246"/>
      <c r="I2" s="246"/>
      <c r="J2" s="247"/>
      <c r="K2" s="248" t="s">
        <v>95</v>
      </c>
      <c r="L2" s="249"/>
    </row>
    <row r="3" spans="2:12" ht="21" customHeight="1">
      <c r="B3" s="243"/>
      <c r="C3" s="245" t="s">
        <v>96</v>
      </c>
      <c r="D3" s="247"/>
      <c r="E3" s="245" t="s">
        <v>91</v>
      </c>
      <c r="F3" s="247"/>
      <c r="G3" s="245" t="s">
        <v>97</v>
      </c>
      <c r="H3" s="247"/>
      <c r="I3" s="245" t="s">
        <v>31</v>
      </c>
      <c r="J3" s="247"/>
      <c r="K3" s="250"/>
      <c r="L3" s="251"/>
    </row>
    <row r="4" spans="2:12" ht="21" customHeight="1">
      <c r="B4" s="244"/>
      <c r="C4" s="81" t="s">
        <v>87</v>
      </c>
      <c r="D4" s="81" t="s">
        <v>88</v>
      </c>
      <c r="E4" s="81" t="s">
        <v>87</v>
      </c>
      <c r="F4" s="81" t="s">
        <v>88</v>
      </c>
      <c r="G4" s="81" t="s">
        <v>87</v>
      </c>
      <c r="H4" s="81" t="s">
        <v>88</v>
      </c>
      <c r="I4" s="81" t="s">
        <v>87</v>
      </c>
      <c r="J4" s="81" t="s">
        <v>88</v>
      </c>
      <c r="K4" s="81" t="s">
        <v>87</v>
      </c>
      <c r="L4" s="81" t="s">
        <v>88</v>
      </c>
    </row>
    <row r="5" spans="2:12" ht="21" customHeight="1">
      <c r="B5" s="82" t="s">
        <v>21</v>
      </c>
      <c r="C5" s="83"/>
      <c r="D5" s="84"/>
      <c r="E5" s="83">
        <f>SUMIFS(Daily!$R:$R, Daily!$AA:$AA, "*강영구*", Daily!$I:$I, "*수리완료",Daily!$F:$F,"&lt;&gt;", Daily!$G:$G, "=1")</f>
        <v>27</v>
      </c>
      <c r="F5" s="83">
        <f>SUMIFS(Daily!$Y:$Y, Daily!$AA:$AA, "*강영구*", Daily!$I:$I, "*수리완료",Daily!$F:$F,"&lt;&gt;", Daily!$G:$G, "=1")+SUMIFS(Daily!$Y:$Y, Daily!$AA:$AA, "*강영구*", Daily!$I:$I, "폐기",Daily!$F:$F,"&lt;&gt;", Daily!$G:$G, "=1")+SUMIFS(Daily!$Y:$Y, Daily!$AA:$AA, "*강영구*", Daily!$I:$I, "수리불가",Daily!$F:$F,"&lt;&gt;", Daily!$G:$G, "=1")</f>
        <v>104</v>
      </c>
      <c r="G5" s="83"/>
      <c r="H5" s="84"/>
      <c r="I5" s="83">
        <f>SUMIFS(Daily!$R:$R, Daily!$AA:$AA, "*강영구*", Daily!$I:$I, "Other", Daily!$F:$F,"&lt;&gt;", Daily!$G:$G, "=1")</f>
        <v>0</v>
      </c>
      <c r="J5" s="83">
        <f>SUMIFS(Daily!$Y:$Y, Daily!$AA:$AA, "*강영구*", Daily!$I:$I, "Other",Daily!$F:$F,"&lt;&gt;", Daily!$G:$G, "=1")</f>
        <v>0</v>
      </c>
      <c r="K5" s="83">
        <f>C5+E5+G5+I5</f>
        <v>27</v>
      </c>
      <c r="L5" s="84">
        <f>D5+F5+H5+J5</f>
        <v>104</v>
      </c>
    </row>
    <row r="6" spans="2:12" ht="21" customHeight="1">
      <c r="B6" s="82" t="s">
        <v>36</v>
      </c>
      <c r="C6" s="83"/>
      <c r="D6" s="84"/>
      <c r="E6" s="83">
        <f>SUMIFS(Daily!$R:$R, Daily!$AA:$AA, "*강영구*", Daily!$I:$I, "*수리완료",Daily!$F:$F,"&lt;&gt;", Daily!$G:$G, "=2")</f>
        <v>19</v>
      </c>
      <c r="F6" s="83">
        <f>SUMIFS(Daily!$Y:$Y, Daily!$AA:$AA, "*강영구*", Daily!$I:$I, "*수리완료",Daily!$F:$F,"&lt;&gt;", Daily!$G:$G, "=2")+SUMIFS(Daily!$Y:$Y, Daily!$AA:$AA, "*강영구*", Daily!$I:$I, "폐기",Daily!$F:$F,"&lt;&gt;", Daily!$G:$G, "=2")+SUMIFS(Daily!$Y:$Y, Daily!$AA:$AA, "*강영구*", Daily!$I:$I, "수리불가",Daily!$F:$F,"&lt;&gt;", Daily!$G:$G, "=2")</f>
        <v>92</v>
      </c>
      <c r="G6" s="83"/>
      <c r="H6" s="84"/>
      <c r="I6" s="83">
        <f>SUMIFS(Daily!$R:$R, Daily!$AA:$AA, "*강영구*", Daily!$I:$I, "Other", Daily!$F:$F,"&lt;&gt;", Daily!$G:$G, "=2")</f>
        <v>0</v>
      </c>
      <c r="J6" s="83">
        <f>SUMIFS(Daily!$Y:$Y, Daily!$AA:$AA, "*강영구*", Daily!$I:$I, "Other",Daily!$F:$F,"&lt;&gt;", Daily!$G:$G, "=2")</f>
        <v>0</v>
      </c>
      <c r="K6" s="83">
        <f t="shared" ref="K6:L16" si="0">C6+E6+G6+I6</f>
        <v>19</v>
      </c>
      <c r="L6" s="84">
        <f t="shared" si="0"/>
        <v>92</v>
      </c>
    </row>
    <row r="7" spans="2:12" ht="21" customHeight="1">
      <c r="B7" s="82" t="s">
        <v>19</v>
      </c>
      <c r="C7" s="83"/>
      <c r="D7" s="84"/>
      <c r="E7" s="83">
        <f>SUMIFS(Daily!$R:$R, Daily!$AA:$AA, "*강영구*", Daily!$I:$I, "*수리완료",Daily!$F:$F,"&lt;&gt;", Daily!$G:$G, "=3")</f>
        <v>20</v>
      </c>
      <c r="F7" s="83">
        <f>SUMIFS(Daily!$Y:$Y, Daily!$AA:$AA, "*강영구*", Daily!$I:$I, "*수리완료",Daily!$F:$F,"&lt;&gt;", Daily!$G:$G, "=3")+SUMIFS(Daily!$Y:$Y, Daily!$AA:$AA, "*강영구*", Daily!$I:$I, "폐기",Daily!$F:$F,"&lt;&gt;", Daily!$G:$G, "=3")+SUMIFS(Daily!$Y:$Y, Daily!$AA:$AA, "*강영구*", Daily!$I:$I, "수리불가",Daily!$F:$F,"&lt;&gt;", Daily!$G:$G, "=3")</f>
        <v>105</v>
      </c>
      <c r="G7" s="83"/>
      <c r="H7" s="84"/>
      <c r="I7" s="83">
        <f>SUMIFS(Daily!$R:$R, Daily!$AA:$AA, "*강영구*", Daily!$I:$I, "Other", Daily!$F:$F,"&lt;&gt;", Daily!$G:$G, "=3")</f>
        <v>0</v>
      </c>
      <c r="J7" s="83">
        <f>SUMIFS(Daily!$Y:$Y, Daily!$AA:$AA, "*강영구*", Daily!$I:$I, "Other",Daily!$F:$F,"&lt;&gt;", Daily!$G:$G, "=3")</f>
        <v>0</v>
      </c>
      <c r="K7" s="83">
        <f t="shared" si="0"/>
        <v>20</v>
      </c>
      <c r="L7" s="84">
        <f t="shared" si="0"/>
        <v>105</v>
      </c>
    </row>
    <row r="8" spans="2:12" ht="21" customHeight="1">
      <c r="B8" s="82" t="s">
        <v>37</v>
      </c>
      <c r="C8" s="83"/>
      <c r="D8" s="84"/>
      <c r="E8" s="83">
        <f>SUMIFS(Daily!$R:$R, Daily!$AA:$AA, "*강영구*", Daily!$I:$I, "*수리완료",Daily!$F:$F,"&lt;&gt;", Daily!$G:$G, "=4")</f>
        <v>20</v>
      </c>
      <c r="F8" s="83">
        <f>SUMIFS(Daily!$Y:$Y, Daily!$AA:$AA, "*강영구*", Daily!$I:$I, "*수리완료",Daily!$F:$F,"&lt;&gt;", Daily!$G:$G, "=4")+SUMIFS(Daily!$Y:$Y, Daily!$AA:$AA, "*강영구*", Daily!$I:$I, "폐기",Daily!$F:$F,"&lt;&gt;", Daily!$G:$G, "=4")+SUMIFS(Daily!$Y:$Y, Daily!$AA:$AA, "*강영구*", Daily!$I:$I, "수리불가",Daily!$F:$F,"&lt;&gt;", Daily!$G:$G, "=4")</f>
        <v>69</v>
      </c>
      <c r="G8" s="83"/>
      <c r="H8" s="84"/>
      <c r="I8" s="83">
        <f>SUMIFS(Daily!$R:$R, Daily!$AA:$AA, "*강영구*", Daily!$I:$I, "Other", Daily!$F:$F,"&lt;&gt;", Daily!$G:$G, "=4")</f>
        <v>0</v>
      </c>
      <c r="J8" s="83">
        <f>SUMIFS(Daily!$Y:$Y, Daily!$AA:$AA, "*강영구*", Daily!$I:$I, "Other",Daily!$F:$F,"&lt;&gt;", Daily!$G:$G, "=4")</f>
        <v>0</v>
      </c>
      <c r="K8" s="83">
        <f t="shared" si="0"/>
        <v>20</v>
      </c>
      <c r="L8" s="84">
        <f t="shared" si="0"/>
        <v>69</v>
      </c>
    </row>
    <row r="9" spans="2:12" ht="21" customHeight="1">
      <c r="B9" s="82" t="s">
        <v>46</v>
      </c>
      <c r="C9" s="83"/>
      <c r="D9" s="84"/>
      <c r="E9" s="83">
        <f>SUMIFS(Daily!$R:$R, Daily!$AA:$AA, "*강영구*", Daily!$I:$I, "*수리완료",Daily!$F:$F,"&lt;&gt;", Daily!$G:$G, "=5")</f>
        <v>18</v>
      </c>
      <c r="F9" s="83">
        <f>SUMIFS(Daily!$Y:$Y, Daily!$AA:$AA, "*강영구*", Daily!$I:$I, "*수리완료",Daily!$F:$F,"&lt;&gt;", Daily!$G:$G, "=5")+SUMIFS(Daily!$Y:$Y, Daily!$AA:$AA, "*강영구*", Daily!$I:$I, "폐기",Daily!$F:$F,"&lt;&gt;", Daily!$G:$G, "=5")+SUMIFS(Daily!$Y:$Y, Daily!$AA:$AA, "*강영구*", Daily!$I:$I, "수리불가",Daily!$F:$F,"&lt;&gt;", Daily!$G:$G, "=5")</f>
        <v>92</v>
      </c>
      <c r="G9" s="83"/>
      <c r="H9" s="84"/>
      <c r="I9" s="83">
        <f>SUMIFS(Daily!$R:$R, Daily!$AA:$AA, "*강영구*", Daily!$I:$I, "Other", Daily!$F:$F,"&lt;&gt;", Daily!$G:$G, "=5")</f>
        <v>0</v>
      </c>
      <c r="J9" s="83">
        <f>SUMIFS(Daily!$Y:$Y, Daily!$AA:$AA, "*강영구*", Daily!$I:$I, "Other",Daily!$F:$F,"&lt;&gt;", Daily!$G:$G, "=5")</f>
        <v>0</v>
      </c>
      <c r="K9" s="83">
        <f t="shared" si="0"/>
        <v>18</v>
      </c>
      <c r="L9" s="84">
        <f t="shared" si="0"/>
        <v>92</v>
      </c>
    </row>
    <row r="10" spans="2:12" ht="21" customHeight="1">
      <c r="B10" s="82" t="s">
        <v>45</v>
      </c>
      <c r="C10" s="83"/>
      <c r="D10" s="84"/>
      <c r="E10" s="83">
        <f>SUMIFS(Daily!$R:$R, Daily!$AA:$AA, "*강영구*", Daily!$I:$I, "*수리완료",Daily!$F:$F,"&lt;&gt;", Daily!$G:$G, "=6")</f>
        <v>21</v>
      </c>
      <c r="F10" s="83">
        <f>SUMIFS(Daily!$Y:$Y, Daily!$AA:$AA, "*강영구*", Daily!$I:$I, "*수리완료",Daily!$F:$F,"&lt;&gt;", Daily!$G:$G, "=6")+SUMIFS(Daily!$Y:$Y, Daily!$AA:$AA, "*강영구*", Daily!$I:$I, "폐기",Daily!$F:$F,"&lt;&gt;", Daily!$G:$G, "=6")+SUMIFS(Daily!$Y:$Y, Daily!$AA:$AA, "*강영구*", Daily!$I:$I, "수리불가",Daily!$F:$F,"&lt;&gt;", Daily!$G:$G, "=6")</f>
        <v>100</v>
      </c>
      <c r="G10" s="83"/>
      <c r="H10" s="84"/>
      <c r="I10" s="83">
        <f>SUMIFS(Daily!$R:$R, Daily!$AA:$AA, "*강영구*", Daily!$I:$I, "Other", Daily!$F:$F,"&lt;&gt;", Daily!$G:$G, "=6")</f>
        <v>0</v>
      </c>
      <c r="J10" s="83">
        <f>SUMIFS(Daily!$Y:$Y, Daily!$AA:$AA, "*강영구*", Daily!$I:$I, "Other",Daily!$F:$F,"&lt;&gt;", Daily!$G:$G, "=6")</f>
        <v>0</v>
      </c>
      <c r="K10" s="83">
        <f t="shared" si="0"/>
        <v>21</v>
      </c>
      <c r="L10" s="84">
        <f t="shared" si="0"/>
        <v>100</v>
      </c>
    </row>
    <row r="11" spans="2:12" ht="21" customHeight="1">
      <c r="B11" s="82" t="s">
        <v>48</v>
      </c>
      <c r="C11" s="83"/>
      <c r="D11" s="84"/>
      <c r="E11" s="83">
        <f>SUMIFS(Daily!$R:$R, Daily!$AA:$AA, "*강영구*", Daily!$I:$I, "*수리완료",Daily!$F:$F,"&lt;&gt;", Daily!$G:$G, "=7")</f>
        <v>21</v>
      </c>
      <c r="F11" s="83">
        <f>SUMIFS(Daily!$Y:$Y, Daily!$AA:$AA, "*강영구*", Daily!$I:$I, "*수리완료",Daily!$F:$F,"&lt;&gt;", Daily!$G:$G, "=7")+SUMIFS(Daily!$Y:$Y, Daily!$AA:$AA, "*강영구*", Daily!$I:$I, "폐기",Daily!$F:$F,"&lt;&gt;", Daily!$G:$G, "=7")+SUMIFS(Daily!$Y:$Y, Daily!$AA:$AA, "*강영구*", Daily!$I:$I, "수리불가",Daily!$F:$F,"&lt;&gt;", Daily!$G:$G, "=7")</f>
        <v>96</v>
      </c>
      <c r="G11" s="83"/>
      <c r="H11" s="84"/>
      <c r="I11" s="83">
        <f>SUMIFS(Daily!$R:$R, Daily!$AA:$AA, "*강영구*", Daily!$I:$I, "Other", Daily!$F:$F,"&lt;&gt;", Daily!$G:$G, "=7")</f>
        <v>0</v>
      </c>
      <c r="J11" s="83">
        <f>SUMIFS(Daily!$Y:$Y, Daily!$AA:$AA, "*강영구*", Daily!$I:$I, "Other",Daily!$F:$F,"&lt;&gt;", Daily!$G:$G, "=7")</f>
        <v>0</v>
      </c>
      <c r="K11" s="83">
        <f t="shared" si="0"/>
        <v>21</v>
      </c>
      <c r="L11" s="84">
        <f t="shared" si="0"/>
        <v>96</v>
      </c>
    </row>
    <row r="12" spans="2:12" ht="21" customHeight="1">
      <c r="B12" s="82" t="s">
        <v>50</v>
      </c>
      <c r="C12" s="83"/>
      <c r="D12" s="84"/>
      <c r="E12" s="83">
        <f>SUMIFS(Daily!$R:$R, Daily!$AA:$AA, "*강영구*", Daily!$I:$I, "*수리완료",Daily!$F:$F,"&lt;&gt;", Daily!$G:$G, "=8")</f>
        <v>20</v>
      </c>
      <c r="F12" s="83">
        <f>SUMIFS(Daily!$Y:$Y, Daily!$AA:$AA, "*강영구*", Daily!$I:$I, "*수리완료",Daily!$F:$F,"&lt;&gt;", Daily!$G:$G, "=8")+SUMIFS(Daily!$Y:$Y, Daily!$AA:$AA, "*강영구*", Daily!$I:$I, "폐기",Daily!$F:$F,"&lt;&gt;", Daily!$G:$G, "=8")+SUMIFS(Daily!$Y:$Y, Daily!$AA:$AA, "*강영구*", Daily!$I:$I, "수리불가",Daily!$F:$F,"&lt;&gt;", Daily!$G:$G, "=8")</f>
        <v>58</v>
      </c>
      <c r="G12" s="83"/>
      <c r="H12" s="84"/>
      <c r="I12" s="83">
        <f>SUMIFS(Daily!$R:$R, Daily!$AA:$AA, "*강영구*", Daily!$I:$I, "Other", Daily!$F:$F,"&lt;&gt;", Daily!$G:$G, "=8")</f>
        <v>0</v>
      </c>
      <c r="J12" s="83">
        <f>SUMIFS(Daily!$Y:$Y, Daily!$AA:$AA, "*강영구*", Daily!$I:$I, "Other",Daily!$F:$F,"&lt;&gt;", Daily!$G:$G, "=8")</f>
        <v>0</v>
      </c>
      <c r="K12" s="83">
        <f t="shared" si="0"/>
        <v>20</v>
      </c>
      <c r="L12" s="84">
        <f t="shared" si="0"/>
        <v>58</v>
      </c>
    </row>
    <row r="13" spans="2:12" ht="21" customHeight="1">
      <c r="B13" s="82" t="s">
        <v>20</v>
      </c>
      <c r="C13" s="83"/>
      <c r="D13" s="84"/>
      <c r="E13" s="83">
        <f>SUMIFS(Daily!$R:$R, Daily!$AA:$AA, "*강영구*", Daily!$I:$I, "*수리완료",Daily!$F:$F,"&lt;&gt;", Daily!$G:$G, "=9")</f>
        <v>16</v>
      </c>
      <c r="F13" s="83">
        <f>SUMIFS(Daily!$Y:$Y, Daily!$AA:$AA, "*강영구*", Daily!$I:$I, "*수리완료",Daily!$F:$F,"&lt;&gt;", Daily!$G:$G, "=9")+SUMIFS(Daily!$Y:$Y, Daily!$AA:$AA, "*강영구*", Daily!$I:$I, "폐기",Daily!$F:$F,"&lt;&gt;", Daily!$G:$G, "=9")+SUMIFS(Daily!$Y:$Y, Daily!$AA:$AA, "*강영구*", Daily!$I:$I, "수리불가",Daily!$F:$F,"&lt;&gt;", Daily!$G:$G, "=9")</f>
        <v>59</v>
      </c>
      <c r="G13" s="83"/>
      <c r="H13" s="84"/>
      <c r="I13" s="83">
        <f>SUMIFS(Daily!$R:$R, Daily!$AA:$AA, "*강영구*", Daily!$I:$I, "Other", Daily!$F:$F,"&lt;&gt;", Daily!$G:$G, "=9")</f>
        <v>0</v>
      </c>
      <c r="J13" s="83">
        <f>SUMIFS(Daily!$Y:$Y, Daily!$AA:$AA, "*강영구*", Daily!$I:$I, "Other",Daily!$F:$F,"&lt;&gt;", Daily!$G:$G, "=9")</f>
        <v>0</v>
      </c>
      <c r="K13" s="83">
        <f t="shared" si="0"/>
        <v>16</v>
      </c>
      <c r="L13" s="84">
        <f t="shared" si="0"/>
        <v>59</v>
      </c>
    </row>
    <row r="14" spans="2:12" ht="21" customHeight="1">
      <c r="B14" s="82" t="s">
        <v>98</v>
      </c>
      <c r="C14" s="83"/>
      <c r="D14" s="84"/>
      <c r="E14" s="83">
        <f>SUMIFS(Daily!$R:$R, Daily!$AA:$AA, "*강영구*", Daily!$I:$I, "*수리완료",Daily!$F:$F,"&lt;&gt;", Daily!$G:$G, "=10")</f>
        <v>29</v>
      </c>
      <c r="F14" s="83">
        <f>SUMIFS(Daily!$Y:$Y, Daily!$AA:$AA, "*강영구*", Daily!$I:$I, "*수리완료",Daily!$F:$F,"&lt;&gt;", Daily!$G:$G, "=10")+SUMIFS(Daily!$Y:$Y, Daily!$AA:$AA, "*강영구*", Daily!$I:$I, "폐기",Daily!$F:$F,"&lt;&gt;", Daily!$G:$G, "=10")+SUMIFS(Daily!$Y:$Y, Daily!$AA:$AA, "*강영구*", Daily!$I:$I, "수리불가",Daily!$F:$F,"&lt;&gt;", Daily!$G:$G, "=10")</f>
        <v>96</v>
      </c>
      <c r="G14" s="83"/>
      <c r="H14" s="84"/>
      <c r="I14" s="83">
        <f>SUMIFS(Daily!$R:$R, Daily!$AA:$AA, "*강영구*", Daily!$I:$I, "Other", Daily!$F:$F,"&lt;&gt;", Daily!$G:$G, "=10")</f>
        <v>0</v>
      </c>
      <c r="J14" s="83">
        <f>SUMIFS(Daily!$Y:$Y, Daily!$AA:$AA, "*강영구*", Daily!$I:$I, "Other",Daily!$F:$F,"&lt;&gt;", Daily!$G:$G, "=10")</f>
        <v>0</v>
      </c>
      <c r="K14" s="83">
        <f t="shared" si="0"/>
        <v>29</v>
      </c>
      <c r="L14" s="84">
        <f t="shared" si="0"/>
        <v>96</v>
      </c>
    </row>
    <row r="15" spans="2:12" ht="21" customHeight="1">
      <c r="B15" s="82" t="s">
        <v>25</v>
      </c>
      <c r="C15" s="83"/>
      <c r="D15" s="84"/>
      <c r="E15" s="83">
        <f>SUMIFS(Daily!$R:$R, Daily!$AA:$AA, "*강영구*", Daily!$I:$I, "*수리완료",Daily!$F:$F,"&lt;&gt;", Daily!$G:$G, "=11")</f>
        <v>32</v>
      </c>
      <c r="F15" s="83">
        <f>SUMIFS(Daily!$Y:$Y, Daily!$AA:$AA, "*강영구*", Daily!$I:$I, "*수리완료",Daily!$F:$F,"&lt;&gt;", Daily!$G:$G, "=11")+SUMIFS(Daily!$Y:$Y, Daily!$AA:$AA, "*강영구*", Daily!$I:$I, "폐기",Daily!$F:$F,"&lt;&gt;", Daily!$G:$G, "=11")+SUMIFS(Daily!$Y:$Y, Daily!$AA:$AA, "*강영구*", Daily!$I:$I, "수리불가",Daily!$F:$F,"&lt;&gt;", Daily!$G:$G, "=11")</f>
        <v>74</v>
      </c>
      <c r="G15" s="83"/>
      <c r="H15" s="84"/>
      <c r="I15" s="83">
        <f>SUMIFS(Daily!$R:$R, Daily!$AA:$AA, "*강영구*", Daily!$I:$I, "Other", Daily!$F:$F,"&lt;&gt;", Daily!$G:$G, "=11")</f>
        <v>0</v>
      </c>
      <c r="J15" s="83">
        <f>SUMIFS(Daily!$Y:$Y, Daily!$AA:$AA, "*강영구*", Daily!$I:$I, "Other",Daily!$F:$F,"&lt;&gt;", Daily!$G:$G, "=11")</f>
        <v>0</v>
      </c>
      <c r="K15" s="83">
        <f t="shared" si="0"/>
        <v>32</v>
      </c>
      <c r="L15" s="84">
        <f t="shared" si="0"/>
        <v>74</v>
      </c>
    </row>
    <row r="16" spans="2:12" ht="21" customHeight="1">
      <c r="B16" s="82" t="s">
        <v>26</v>
      </c>
      <c r="C16" s="83"/>
      <c r="D16" s="84"/>
      <c r="E16" s="83">
        <f>SUMIFS(Daily!$R:$R, Daily!$AA:$AA, "*강영구*", Daily!$I:$I, "*수리완료",Daily!$F:$F,"&lt;&gt;", Daily!$G:$G, "=12")</f>
        <v>26</v>
      </c>
      <c r="F16" s="83">
        <f>SUMIFS(Daily!$Y:$Y, Daily!$AA:$AA, "*강영구*", Daily!$I:$I, "수리완료",Daily!$F:$F,"&lt;&gt;", Daily!$G:$G, "=12")+SUMIFS(Daily!$Y:$Y, Daily!$AA:$AA, "*강영구*", Daily!$I:$I, "폐기",Daily!$F:$F,"&lt;&gt;", Daily!$G:$G, "=12")+SUMIFS(Daily!$Y:$Y, Daily!$AA:$AA, "*강영구*", Daily!$I:$I, "수리불가",Daily!$F:$F,"&lt;&gt;", Daily!$G:$G, "=12")</f>
        <v>100</v>
      </c>
      <c r="G16" s="83"/>
      <c r="H16" s="84"/>
      <c r="I16" s="83">
        <f>SUMIFS(Daily!$R:$R, Daily!$AA:$AA, "*강영구*", Daily!$I:$I, "Other", Daily!$F:$F,"&lt;&gt;", Daily!$G:$G, "=12")</f>
        <v>0</v>
      </c>
      <c r="J16" s="83">
        <f>SUMIFS(Daily!$Y:$Y, Daily!$AA:$AA, "*강영구*", Daily!$I:$I, "Other",Daily!$F:$F,"&lt;&gt;", Daily!$G:$G, "=12")</f>
        <v>0</v>
      </c>
      <c r="K16" s="83">
        <f t="shared" si="0"/>
        <v>26</v>
      </c>
      <c r="L16" s="84">
        <f t="shared" si="0"/>
        <v>100</v>
      </c>
    </row>
    <row r="17" spans="2:12" ht="21" customHeight="1">
      <c r="B17" s="81" t="s">
        <v>95</v>
      </c>
      <c r="C17" s="85">
        <f t="shared" ref="C17:L17" si="1">SUM(C5:C16)</f>
        <v>0</v>
      </c>
      <c r="D17" s="81">
        <f t="shared" si="1"/>
        <v>0</v>
      </c>
      <c r="E17" s="85">
        <f t="shared" si="1"/>
        <v>269</v>
      </c>
      <c r="F17" s="86">
        <f t="shared" si="1"/>
        <v>1045</v>
      </c>
      <c r="G17" s="85">
        <f t="shared" si="1"/>
        <v>0</v>
      </c>
      <c r="H17" s="86">
        <f t="shared" si="1"/>
        <v>0</v>
      </c>
      <c r="I17" s="85">
        <f t="shared" si="1"/>
        <v>0</v>
      </c>
      <c r="J17" s="86">
        <f t="shared" si="1"/>
        <v>0</v>
      </c>
      <c r="K17" s="85">
        <f t="shared" si="1"/>
        <v>269</v>
      </c>
      <c r="L17" s="86">
        <f t="shared" si="1"/>
        <v>1045</v>
      </c>
    </row>
  </sheetData>
  <mergeCells count="7">
    <mergeCell ref="B2:B4"/>
    <mergeCell ref="C2:J2"/>
    <mergeCell ref="K2:L3"/>
    <mergeCell ref="C3:D3"/>
    <mergeCell ref="E3:F3"/>
    <mergeCell ref="G3:H3"/>
    <mergeCell ref="I3:J3"/>
  </mergeCells>
  <phoneticPr fontId="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B1:L17"/>
  <sheetViews>
    <sheetView showGridLines="0" zoomScaleNormal="100" workbookViewId="0">
      <selection activeCell="F15" sqref="F15"/>
    </sheetView>
  </sheetViews>
  <sheetFormatPr defaultRowHeight="16.5"/>
  <cols>
    <col min="1" max="1" width="2.75" customWidth="1"/>
    <col min="2" max="2" width="11.875" style="15" customWidth="1"/>
    <col min="3" max="6" width="12.375" style="15" customWidth="1"/>
    <col min="7" max="12" width="12.375" customWidth="1"/>
  </cols>
  <sheetData>
    <row r="1" spans="2:12" ht="26.25">
      <c r="B1" s="79" t="s">
        <v>92</v>
      </c>
      <c r="C1" s="80"/>
      <c r="D1" s="80"/>
      <c r="E1" s="80"/>
      <c r="F1" s="80"/>
      <c r="G1" s="30"/>
      <c r="H1" s="30"/>
      <c r="I1" s="30"/>
      <c r="J1" s="30"/>
      <c r="K1" s="30"/>
      <c r="L1" s="30"/>
    </row>
    <row r="2" spans="2:12" ht="21" customHeight="1">
      <c r="B2" s="242" t="s">
        <v>93</v>
      </c>
      <c r="C2" s="245" t="s">
        <v>94</v>
      </c>
      <c r="D2" s="246"/>
      <c r="E2" s="246"/>
      <c r="F2" s="246"/>
      <c r="G2" s="246"/>
      <c r="H2" s="246"/>
      <c r="I2" s="246"/>
      <c r="J2" s="247"/>
      <c r="K2" s="248" t="s">
        <v>95</v>
      </c>
      <c r="L2" s="249"/>
    </row>
    <row r="3" spans="2:12" ht="21" customHeight="1">
      <c r="B3" s="243"/>
      <c r="C3" s="245" t="s">
        <v>96</v>
      </c>
      <c r="D3" s="247"/>
      <c r="E3" s="245" t="s">
        <v>91</v>
      </c>
      <c r="F3" s="247"/>
      <c r="G3" s="245" t="s">
        <v>97</v>
      </c>
      <c r="H3" s="247"/>
      <c r="I3" s="245" t="s">
        <v>31</v>
      </c>
      <c r="J3" s="247"/>
      <c r="K3" s="250"/>
      <c r="L3" s="251"/>
    </row>
    <row r="4" spans="2:12" ht="21" customHeight="1">
      <c r="B4" s="244"/>
      <c r="C4" s="81" t="s">
        <v>87</v>
      </c>
      <c r="D4" s="81" t="s">
        <v>88</v>
      </c>
      <c r="E4" s="81" t="s">
        <v>87</v>
      </c>
      <c r="F4" s="81" t="s">
        <v>88</v>
      </c>
      <c r="G4" s="81" t="s">
        <v>87</v>
      </c>
      <c r="H4" s="81" t="s">
        <v>88</v>
      </c>
      <c r="I4" s="81" t="s">
        <v>87</v>
      </c>
      <c r="J4" s="81" t="s">
        <v>88</v>
      </c>
      <c r="K4" s="81" t="s">
        <v>87</v>
      </c>
      <c r="L4" s="81" t="s">
        <v>88</v>
      </c>
    </row>
    <row r="5" spans="2:12" ht="21" customHeight="1">
      <c r="B5" s="82" t="s">
        <v>21</v>
      </c>
      <c r="C5" s="83"/>
      <c r="D5" s="84"/>
      <c r="E5" s="83">
        <f>SUMIFS(Daily!$R:$R, Daily!$AA:$AA, "*장은철*", Daily!$I:$I, "수리완료",Daily!$F:$F,"&lt;&gt;", Daily!$G:$G, "=1")+SUMIFS(Daily!$R:$R, Daily!$AA:$AA, "*장은철*", Daily!$I:$I, "외주수리완료",Daily!$F:$F,"&lt;&gt;", Daily!$G:$G, "=1")</f>
        <v>42</v>
      </c>
      <c r="F5" s="83">
        <f>SUMIFS(Daily!$Y:$Y, Daily!$AA:$AA, "*장은철*", Daily!$I:$I, "*수리완료",Daily!$F:$F,"&lt;&gt;", Daily!$G:$G, "=1")+SUMIFS(Daily!$Y:$Y, Daily!$AA:$AA, "*장은철*", Daily!$I:$I, "수리불가",Daily!$F:$F,"&lt;&gt;", Daily!$G:$G, "=1")+SUMIFS(Daily!$Y:$Y, Daily!$AA:$AA, "*장은철*", Daily!$I:$I, "폐기",Daily!$F:$F,"&lt;&gt;", Daily!$G:$G, "=1")</f>
        <v>101</v>
      </c>
      <c r="G5" s="83"/>
      <c r="H5" s="84"/>
      <c r="I5" s="83">
        <f>SUMIFS(Daily!$R:$R, Daily!$AA:$AA, "*장은철*", Daily!$I:$I, "Other", Daily!$F:$F,"&lt;&gt;", Daily!$G:$G, "=1")</f>
        <v>1</v>
      </c>
      <c r="J5" s="83">
        <f>SUMIFS(Daily!$Y:$Y, Daily!$AA:$AA, "*장은철*", Daily!$I:$I, "Other",Daily!$F:$F,"&lt;&gt;", Daily!$G:$G, "=1")</f>
        <v>3</v>
      </c>
      <c r="K5" s="83">
        <f>C5+E5+G5+I5</f>
        <v>43</v>
      </c>
      <c r="L5" s="84">
        <f>D5+F5+H5+J5</f>
        <v>104</v>
      </c>
    </row>
    <row r="6" spans="2:12" ht="21" customHeight="1">
      <c r="B6" s="82" t="s">
        <v>36</v>
      </c>
      <c r="C6" s="83"/>
      <c r="D6" s="84"/>
      <c r="E6" s="83">
        <f>SUMIFS(Daily!$R:$R, Daily!$AA:$AA, "*장은철*", Daily!$I:$I, "수리완료",Daily!$F:$F,"&lt;&gt;", Daily!$G:$G, "=2")+SUMIFS(Daily!$R:$R, Daily!$AA:$AA, "*장은철*", Daily!$I:$I, "외주수리완료",Daily!$F:$F,"&lt;&gt;", Daily!$G:$G, "=2")</f>
        <v>45</v>
      </c>
      <c r="F6" s="83">
        <f>SUMIFS(Daily!$Y:$Y, Daily!$AA:$AA, "*장은철*", Daily!$I:$I, "*수리완료",Daily!$F:$F,"&lt;&gt;", Daily!$G:$G, "=2")+SUMIFS(Daily!$Y:$Y, Daily!$AA:$AA, "*장은철*", Daily!$I:$I, "폐기",Daily!$F:$F,"&lt;&gt;", Daily!$G:$G, "=2")+SUMIFS(Daily!$Y:$Y, Daily!$AA:$AA, "*장은철*", Daily!$I:$I, "수리불가",Daily!$F:$F,"&lt;&gt;", Daily!$G:$G, "=2")</f>
        <v>87</v>
      </c>
      <c r="G6" s="83"/>
      <c r="H6" s="84"/>
      <c r="I6" s="83">
        <f>SUMIFS(Daily!$R:$R, Daily!$AA:$AA, "*장은철*", Daily!$I:$I, "Other", Daily!$F:$F,"&lt;&gt;", Daily!$G:$G, "=2")</f>
        <v>0</v>
      </c>
      <c r="J6" s="83">
        <f>SUMIFS(Daily!$Y:$Y, Daily!$AA:$AA, "*장은철*", Daily!$I:$I, "Other",Daily!$F:$F,"&lt;&gt;", Daily!$G:$G, "=2")</f>
        <v>0</v>
      </c>
      <c r="K6" s="83">
        <f t="shared" ref="K6:L16" si="0">C6+E6+G6+I6</f>
        <v>45</v>
      </c>
      <c r="L6" s="84">
        <f t="shared" si="0"/>
        <v>87</v>
      </c>
    </row>
    <row r="7" spans="2:12" ht="21" customHeight="1">
      <c r="B7" s="82" t="s">
        <v>19</v>
      </c>
      <c r="C7" s="83"/>
      <c r="D7" s="84"/>
      <c r="E7" s="83">
        <f>SUMIFS(Daily!$R:$R, Daily!$AA:$AA, "*장은철*", Daily!$I:$I, "수리완료",Daily!$F:$F,"&lt;&gt;", Daily!$G:$G, "=3")+SUMIFS(Daily!$R:$R, Daily!$AA:$AA, "*장은철*", Daily!$I:$I, "외주수리완료",Daily!$F:$F,"&lt;&gt;", Daily!$G:$G, "=3")</f>
        <v>39</v>
      </c>
      <c r="F7" s="83">
        <f>SUMIFS(Daily!$Y:$Y, Daily!$AA:$AA, "*장은철*", Daily!$I:$I, "*수리완료",Daily!$F:$F,"&lt;&gt;", Daily!$G:$G, "=3")+SUMIFS(Daily!$Y:$Y, Daily!$AA:$AA, "*장은철*", Daily!$I:$I, "폐기",Daily!$F:$F,"&lt;&gt;", Daily!$G:$G, "=3")+SUMIFS(Daily!$Y:$Y, Daily!$AA:$AA, "*장은철*", Daily!$I:$I, "수리불가",Daily!$F:$F,"&lt;&gt;", Daily!$G:$G, "=3")</f>
        <v>70</v>
      </c>
      <c r="G7" s="83"/>
      <c r="H7" s="84"/>
      <c r="I7" s="83">
        <f>SUMIFS(Daily!$R:$R, Daily!$AA:$AA, "*장은철*", Daily!$I:$I, "Other", Daily!$F:$F,"&lt;&gt;", Daily!$G:$G, "=3")</f>
        <v>0</v>
      </c>
      <c r="J7" s="83">
        <f>SUMIFS(Daily!$Y:$Y, Daily!$AA:$AA, "*장은철*", Daily!$I:$I, "Other",Daily!$F:$F,"&lt;&gt;", Daily!$G:$G, "=3")</f>
        <v>0</v>
      </c>
      <c r="K7" s="83">
        <f t="shared" si="0"/>
        <v>39</v>
      </c>
      <c r="L7" s="84">
        <f t="shared" si="0"/>
        <v>70</v>
      </c>
    </row>
    <row r="8" spans="2:12" ht="21" customHeight="1">
      <c r="B8" s="82" t="s">
        <v>37</v>
      </c>
      <c r="C8" s="83"/>
      <c r="D8" s="84"/>
      <c r="E8" s="83">
        <f>SUMIFS(Daily!$R:$R, Daily!$AA:$AA, "*장은철*", Daily!$I:$I, "수리완료",Daily!$F:$F,"&lt;&gt;", Daily!$G:$G, "=4")+SUMIFS(Daily!$R:$R, Daily!$AA:$AA, "*장은철*", Daily!$I:$I, "외주수리완료",Daily!$F:$F,"&lt;&gt;", Daily!$G:$G, "=4")</f>
        <v>42</v>
      </c>
      <c r="F8" s="83">
        <f>SUMIFS(Daily!$Y:$Y, Daily!$AA:$AA, "*장은철*", Daily!$I:$I, "*수리완료",Daily!$F:$F,"&lt;&gt;", Daily!$G:$G, "=4")+SUMIFS(Daily!$Y:$Y, Daily!$AA:$AA, "*장은철*", Daily!$I:$I, "폐기",Daily!$F:$F,"&lt;&gt;", Daily!$G:$G, "=4")+SUMIFS(Daily!$Y:$Y, Daily!$AA:$AA, "*장은철*", Daily!$I:$I, "수리불가",Daily!$F:$F,"&lt;&gt;", Daily!$G:$G, "=4")</f>
        <v>83</v>
      </c>
      <c r="G8" s="83"/>
      <c r="H8" s="84"/>
      <c r="I8" s="83">
        <f>SUMIFS(Daily!$R:$R, Daily!$AA:$AA, "*장은철*", Daily!$I:$I, "Other", Daily!$F:$F,"&lt;&gt;", Daily!$G:$G, "=4")</f>
        <v>0</v>
      </c>
      <c r="J8" s="83">
        <f>SUMIFS(Daily!$Y:$Y, Daily!$AA:$AA, "*장은철*", Daily!$I:$I, "Other",Daily!$F:$F,"&lt;&gt;", Daily!$G:$G, "=4")</f>
        <v>0</v>
      </c>
      <c r="K8" s="83">
        <f t="shared" si="0"/>
        <v>42</v>
      </c>
      <c r="L8" s="84">
        <f t="shared" si="0"/>
        <v>83</v>
      </c>
    </row>
    <row r="9" spans="2:12" ht="21" customHeight="1">
      <c r="B9" s="82" t="s">
        <v>46</v>
      </c>
      <c r="C9" s="83"/>
      <c r="D9" s="84"/>
      <c r="E9" s="83">
        <f>SUMIFS(Daily!$R:$R, Daily!$AA:$AA, "*장은철*", Daily!$I:$I, "수리완료",Daily!$F:$F,"&lt;&gt;", Daily!$G:$G, "=5")+SUMIFS(Daily!$R:$R, Daily!$AA:$AA, "*장은철*", Daily!$I:$I, "외주수리완료",Daily!$F:$F,"&lt;&gt;", Daily!$G:$G, "=5")</f>
        <v>35</v>
      </c>
      <c r="F9" s="83">
        <f>SUMIFS(Daily!$Y:$Y, Daily!$AA:$AA, "*장은철*", Daily!$I:$I, "*수리완료",Daily!$F:$F,"&lt;&gt;", Daily!$G:$G, "=5")+SUMIFS(Daily!$Y:$Y, Daily!$AA:$AA, "*장은철*", Daily!$I:$I, "폐기",Daily!$F:$F,"&lt;&gt;", Daily!$G:$G, "=5")+SUMIFS(Daily!$Y:$Y, Daily!$AA:$AA, "*장은철*", Daily!$I:$I, "수리불가",Daily!$F:$F,"&lt;&gt;", Daily!$G:$G, "=5")</f>
        <v>64</v>
      </c>
      <c r="G9" s="83"/>
      <c r="H9" s="84"/>
      <c r="I9" s="83">
        <f>SUMIFS(Daily!$R:$R, Daily!$AA:$AA, "*장은철*", Daily!$I:$I, "Other", Daily!$F:$F,"&lt;&gt;", Daily!$G:$G, "=5")</f>
        <v>3</v>
      </c>
      <c r="J9" s="83">
        <f>SUMIFS(Daily!$Y:$Y, Daily!$AA:$AA, "*장은철*", Daily!$I:$I, "Other",Daily!$F:$F,"&lt;&gt;", Daily!$G:$G, "=5")</f>
        <v>23</v>
      </c>
      <c r="K9" s="83">
        <f t="shared" si="0"/>
        <v>38</v>
      </c>
      <c r="L9" s="84">
        <f t="shared" si="0"/>
        <v>87</v>
      </c>
    </row>
    <row r="10" spans="2:12" ht="21" customHeight="1">
      <c r="B10" s="82" t="s">
        <v>45</v>
      </c>
      <c r="C10" s="83"/>
      <c r="D10" s="84"/>
      <c r="E10" s="83">
        <f>SUMIFS(Daily!$R:$R, Daily!$AA:$AA, "*장은철*", Daily!$I:$I, "수리완료",Daily!$F:$F,"&lt;&gt;", Daily!$G:$G, "=6")+SUMIFS(Daily!$R:$R, Daily!$AA:$AA, "*장은철*", Daily!$I:$I, "외주수리완료",Daily!$F:$F,"&lt;&gt;", Daily!$G:$G, "=6")</f>
        <v>33</v>
      </c>
      <c r="F10" s="83">
        <f>SUMIFS(Daily!$Y:$Y, Daily!$AA:$AA, "*장은철*", Daily!$I:$I, "*수리완료",Daily!$F:$F,"&lt;&gt;", Daily!$G:$G, "=6")+SUMIFS(Daily!$Y:$Y, Daily!$AA:$AA, "*장은철*", Daily!$I:$I, "폐기",Daily!$F:$F,"&lt;&gt;", Daily!$G:$G, "=6")+SUMIFS(Daily!$Y:$Y, Daily!$AA:$AA, "*장은철*", Daily!$I:$I, "수리불가",Daily!$F:$F,"&lt;&gt;", Daily!$G:$G, "=6")</f>
        <v>83</v>
      </c>
      <c r="G10" s="83"/>
      <c r="H10" s="84"/>
      <c r="I10" s="83">
        <f>SUMIFS(Daily!$R:$R, Daily!$AA:$AA, "*장은철*", Daily!$I:$I, "Other", Daily!$F:$F,"&lt;&gt;", Daily!$G:$G, "=6")</f>
        <v>1</v>
      </c>
      <c r="J10" s="83">
        <f>SUMIFS(Daily!$Y:$Y, Daily!$AA:$AA, "*장은철*", Daily!$I:$I, "Other",Daily!$F:$F,"&lt;&gt;", Daily!$G:$G, "=6")</f>
        <v>2</v>
      </c>
      <c r="K10" s="83">
        <f t="shared" si="0"/>
        <v>34</v>
      </c>
      <c r="L10" s="84">
        <f t="shared" si="0"/>
        <v>85</v>
      </c>
    </row>
    <row r="11" spans="2:12" ht="21" customHeight="1">
      <c r="B11" s="82" t="s">
        <v>48</v>
      </c>
      <c r="C11" s="83"/>
      <c r="D11" s="84"/>
      <c r="E11" s="83">
        <f>SUMIFS(Daily!$R:$R, Daily!$AA:$AA, "*장은철*", Daily!$I:$I, "수리완료",Daily!$F:$F,"&lt;&gt;", Daily!$G:$G, "=7")+SUMIFS(Daily!$R:$R, Daily!$AA:$AA, "*장은철*", Daily!$I:$I, "외주수리완료",Daily!$F:$F,"&lt;&gt;", Daily!$G:$G, "=7")</f>
        <v>38</v>
      </c>
      <c r="F11" s="83">
        <f>SUMIFS(Daily!$Y:$Y, Daily!$AA:$AA, "*장은철*", Daily!$I:$I, "*수리완료",Daily!$F:$F,"&lt;&gt;", Daily!$G:$G, "=7")+SUMIFS(Daily!$Y:$Y, Daily!$AA:$AA, "*장은철*", Daily!$I:$I, "폐기",Daily!$F:$F,"&lt;&gt;", Daily!$G:$G, "=7")+SUMIFS(Daily!$Y:$Y, Daily!$AA:$AA, "*장은철*", Daily!$I:$I, "수리불가",Daily!$F:$F,"&lt;&gt;", Daily!$G:$G, "=7")</f>
        <v>72</v>
      </c>
      <c r="G11" s="83"/>
      <c r="H11" s="84"/>
      <c r="I11" s="83">
        <f>SUMIFS(Daily!$R:$R, Daily!$AA:$AA, "*장은철*", Daily!$I:$I, "Other", Daily!$F:$F,"&lt;&gt;", Daily!$G:$G, "=7")</f>
        <v>3</v>
      </c>
      <c r="J11" s="83">
        <f>SUMIFS(Daily!$Y:$Y, Daily!$AA:$AA, "*장은철*", Daily!$I:$I, "Other",Daily!$F:$F,"&lt;&gt;", Daily!$G:$G, "=7")</f>
        <v>12</v>
      </c>
      <c r="K11" s="83">
        <f t="shared" si="0"/>
        <v>41</v>
      </c>
      <c r="L11" s="84">
        <f t="shared" si="0"/>
        <v>84</v>
      </c>
    </row>
    <row r="12" spans="2:12" ht="21" customHeight="1">
      <c r="B12" s="82" t="s">
        <v>50</v>
      </c>
      <c r="C12" s="83"/>
      <c r="D12" s="84"/>
      <c r="E12" s="83">
        <f>SUMIFS(Daily!$R:$R, Daily!$AA:$AA, "*장은철*", Daily!$I:$I, "수리완료",Daily!$F:$F,"&lt;&gt;", Daily!$G:$G, "=8")+SUMIFS(Daily!$R:$R, Daily!$AA:$AA, "*장은철*", Daily!$I:$I, "외주수리완료",Daily!$F:$F,"&lt;&gt;", Daily!$G:$G, "=8")</f>
        <v>41</v>
      </c>
      <c r="F12" s="83">
        <f>SUMIFS(Daily!$Y:$Y, Daily!$AA:$AA, "*장은철*", Daily!$I:$I, "*수리완료",Daily!$F:$F,"&lt;&gt;", Daily!$G:$G, "=8")+SUMIFS(Daily!$Y:$Y, Daily!$AA:$AA, "*장은철*", Daily!$I:$I, "폐기",Daily!$F:$F,"&lt;&gt;", Daily!$G:$G, "=8")+SUMIFS(Daily!$Y:$Y, Daily!$AA:$AA, "*장은철*", Daily!$I:$I, "수리불가",Daily!$F:$F,"&lt;&gt;", Daily!$G:$G, "=8")</f>
        <v>75</v>
      </c>
      <c r="G12" s="83"/>
      <c r="H12" s="84"/>
      <c r="I12" s="83">
        <f>SUMIFS(Daily!$R:$R, Daily!$AA:$AA, "*장은철*", Daily!$I:$I, "Other", Daily!$F:$F,"&lt;&gt;", Daily!$G:$G, "=8")</f>
        <v>6</v>
      </c>
      <c r="J12" s="83">
        <f>SUMIFS(Daily!$Y:$Y, Daily!$AA:$AA, "*장은철*", Daily!$I:$I, "Other",Daily!$F:$F,"&lt;&gt;", Daily!$G:$G, "=8")</f>
        <v>21</v>
      </c>
      <c r="K12" s="83">
        <f t="shared" si="0"/>
        <v>47</v>
      </c>
      <c r="L12" s="84">
        <f t="shared" si="0"/>
        <v>96</v>
      </c>
    </row>
    <row r="13" spans="2:12" ht="21" customHeight="1">
      <c r="B13" s="82" t="s">
        <v>20</v>
      </c>
      <c r="C13" s="83"/>
      <c r="D13" s="84"/>
      <c r="E13" s="83">
        <f>SUMIFS(Daily!$R:$R, Daily!$AA:$AA, "*장은철*", Daily!$I:$I, "수리완료",Daily!$F:$F,"&lt;&gt;", Daily!$G:$G, "=9")+SUMIFS(Daily!$R:$R, Daily!$AA:$AA, "*장은철*", Daily!$I:$I, "외주수리완료",Daily!$F:$F,"&lt;&gt;", Daily!$G:$G, "=9")</f>
        <v>40</v>
      </c>
      <c r="F13" s="83">
        <f>SUMIFS(Daily!$Y:$Y, Daily!$AA:$AA, "*장은철*", Daily!$I:$I, "*수리완료",Daily!$F:$F,"&lt;&gt;", Daily!$G:$G, "=9")+SUMIFS(Daily!$Y:$Y, Daily!$AA:$AA, "*장은철*", Daily!$I:$I, "폐기",Daily!$F:$F,"&lt;&gt;", Daily!$G:$G, "=9")+SUMIFS(Daily!$Y:$Y, Daily!$AA:$AA, "*장은철*", Daily!$I:$I, "수리불가",Daily!$F:$F,"&lt;&gt;", Daily!$G:$G, "=9")</f>
        <v>93</v>
      </c>
      <c r="G13" s="83"/>
      <c r="H13" s="84"/>
      <c r="I13" s="83">
        <f>SUMIFS(Daily!$R:$R, Daily!$AA:$AA, "*장은철*", Daily!$I:$I, "Other", Daily!$F:$F,"&lt;&gt;", Daily!$G:$G, "=9")</f>
        <v>3</v>
      </c>
      <c r="J13" s="83">
        <f>SUMIFS(Daily!$Y:$Y, Daily!$AA:$AA, "*장은철*", Daily!$I:$I, "Other",Daily!$F:$F,"&lt;&gt;", Daily!$G:$G, "=9")</f>
        <v>10</v>
      </c>
      <c r="K13" s="83">
        <f t="shared" si="0"/>
        <v>43</v>
      </c>
      <c r="L13" s="84">
        <f t="shared" si="0"/>
        <v>103</v>
      </c>
    </row>
    <row r="14" spans="2:12" ht="21" customHeight="1">
      <c r="B14" s="82" t="s">
        <v>98</v>
      </c>
      <c r="C14" s="83"/>
      <c r="D14" s="84"/>
      <c r="E14" s="83">
        <f>SUMIFS(Daily!$R:$R, Daily!$AA:$AA, "*장은철*", Daily!$I:$I, "수리완료",Daily!$F:$F,"&lt;&gt;", Daily!$G:$G, "=10")+SUMIFS(Daily!$R:$R, Daily!$AA:$AA, "*장은철*", Daily!$I:$I, "외주수리완료",Daily!$F:$F,"&lt;&gt;", Daily!$G:$G, "=10")</f>
        <v>29</v>
      </c>
      <c r="F14" s="83">
        <f>SUMIFS(Daily!$Y:$Y, Daily!$AA:$AA, "*장은철*", Daily!$I:$I, "*수리완료",Daily!$F:$F,"&lt;&gt;", Daily!$G:$G, "=10")+SUMIFS(Daily!$Y:$Y, Daily!$AA:$AA, "*장은철*", Daily!$I:$I, "폐기",Daily!$F:$F,"&lt;&gt;", Daily!$G:$G, "=10")+SUMIFS(Daily!$Y:$Y, Daily!$AA:$AA, "*장은철*", Daily!$I:$I, "수리불가",Daily!$F:$F,"&lt;&gt;", Daily!$G:$G, "=10")</f>
        <v>86</v>
      </c>
      <c r="G14" s="83"/>
      <c r="H14" s="84"/>
      <c r="I14" s="83">
        <f>SUMIFS(Daily!$R:$R, Daily!$AA:$AA, "*장은철*", Daily!$I:$I, "Other", Daily!$F:$F,"&lt;&gt;", Daily!$G:$G, "=10")</f>
        <v>2</v>
      </c>
      <c r="J14" s="83">
        <f>SUMIFS(Daily!$Y:$Y, Daily!$AA:$AA, "*장은철*", Daily!$I:$I, "Other",Daily!$F:$F,"&lt;&gt;", Daily!$G:$G, "=10")</f>
        <v>28</v>
      </c>
      <c r="K14" s="83">
        <f t="shared" si="0"/>
        <v>31</v>
      </c>
      <c r="L14" s="84">
        <f t="shared" si="0"/>
        <v>114</v>
      </c>
    </row>
    <row r="15" spans="2:12" ht="21" customHeight="1">
      <c r="B15" s="82" t="s">
        <v>25</v>
      </c>
      <c r="C15" s="83"/>
      <c r="D15" s="84"/>
      <c r="E15" s="83">
        <f>SUMIFS(Daily!$R:$R, Daily!$AA:$AA, "*장은철*", Daily!$I:$I, "수리완료",Daily!$F:$F,"&lt;&gt;", Daily!$G:$G, "=11")+SUMIFS(Daily!$R:$R, Daily!$AA:$AA, "*장은철*", Daily!$I:$I, "외주수리완료",Daily!$F:$F,"&lt;&gt;", Daily!$G:$G, "=11")</f>
        <v>48</v>
      </c>
      <c r="F15" s="83">
        <f>SUMIFS(Daily!$Y:$Y, Daily!$AA:$AA, "*장은철*", Daily!$I:$I, "*수리완료",Daily!$F:$F,"&lt;&gt;", Daily!$G:$G, "=11")+SUMIFS(Daily!$Y:$Y, Daily!$AA:$AA, "*장은철*", Daily!$I:$I, "폐기",Daily!$F:$F,"&lt;&gt;", Daily!$G:$G, "=11")+SUMIFS(Daily!$Y:$Y, Daily!$AA:$AA, "*장은철*", Daily!$I:$I, "수리불가",Daily!$F:$F,"&lt;&gt;", Daily!$G:$G, "=11")</f>
        <v>83</v>
      </c>
      <c r="G15" s="83"/>
      <c r="H15" s="84"/>
      <c r="I15" s="83">
        <f>SUMIFS(Daily!$R:$R, Daily!$AA:$AA, "*장은철*", Daily!$I:$I, "Other", Daily!$F:$F,"&lt;&gt;", Daily!$G:$G, "=11")</f>
        <v>13</v>
      </c>
      <c r="J15" s="83">
        <f>SUMIFS(Daily!$Y:$Y, Daily!$AA:$AA, "*장은철*", Daily!$I:$I, "Other",Daily!$F:$F,"&lt;&gt;", Daily!$G:$G, "=11")</f>
        <v>21</v>
      </c>
      <c r="K15" s="83">
        <f t="shared" si="0"/>
        <v>61</v>
      </c>
      <c r="L15" s="84">
        <f t="shared" si="0"/>
        <v>104</v>
      </c>
    </row>
    <row r="16" spans="2:12" ht="21" customHeight="1">
      <c r="B16" s="82" t="s">
        <v>26</v>
      </c>
      <c r="C16" s="83"/>
      <c r="D16" s="84"/>
      <c r="E16" s="83">
        <f>SUMIFS(Daily!$R:$R, Daily!$AA:$AA, "*장은철*", Daily!$I:$I, "수리완료",Daily!$F:$F,"&lt;&gt;", Daily!$G:$G, "=12")+SUMIFS(Daily!$R:$R, Daily!$AA:$AA, "*장은철*", Daily!$I:$I, "외주수리완료",Daily!$F:$F,"&lt;&gt;", Daily!$G:$G, "=12")</f>
        <v>43</v>
      </c>
      <c r="F16" s="83">
        <f>SUMIFS(Daily!$Y:$Y, Daily!$AA:$AA, "*장은철*", Daily!$I:$I, "*수리완료",Daily!$F:$F,"&lt;&gt;", Daily!$G:$G, "=12")+SUMIFS(Daily!$Y:$Y, Daily!$AA:$AA, "*장은철*", Daily!$I:$I, "폐기",Daily!$F:$F,"&lt;&gt;", Daily!$G:$G, "=12")+SUMIFS(Daily!$Y:$Y, Daily!$AA:$AA, "*장은철*", Daily!$I:$I, "수리불가",Daily!$F:$F,"&lt;&gt;", Daily!$G:$G, "=12")</f>
        <v>95</v>
      </c>
      <c r="G16" s="83"/>
      <c r="H16" s="84"/>
      <c r="I16" s="83">
        <f>SUMIFS(Daily!$R:$R, Daily!$AA:$AA, "*장은철*", Daily!$I:$I, "Other", Daily!$F:$F,"&lt;&gt;", Daily!$G:$G, "=12")</f>
        <v>12</v>
      </c>
      <c r="J16" s="83">
        <f>SUMIFS(Daily!$Y:$Y, Daily!$AA:$AA, "*장은철*", Daily!$I:$I, "Other",Daily!$F:$F,"&lt;&gt;", Daily!$G:$G, "=12")</f>
        <v>12</v>
      </c>
      <c r="K16" s="83">
        <f t="shared" si="0"/>
        <v>55</v>
      </c>
      <c r="L16" s="84">
        <f t="shared" si="0"/>
        <v>107</v>
      </c>
    </row>
    <row r="17" spans="2:12" ht="21" customHeight="1">
      <c r="B17" s="81" t="s">
        <v>95</v>
      </c>
      <c r="C17" s="85">
        <f t="shared" ref="C17:L17" si="1">SUM(C5:C16)</f>
        <v>0</v>
      </c>
      <c r="D17" s="81">
        <f t="shared" si="1"/>
        <v>0</v>
      </c>
      <c r="E17" s="85">
        <f t="shared" si="1"/>
        <v>475</v>
      </c>
      <c r="F17" s="86">
        <f t="shared" si="1"/>
        <v>992</v>
      </c>
      <c r="G17" s="85">
        <f t="shared" si="1"/>
        <v>0</v>
      </c>
      <c r="H17" s="86">
        <f t="shared" si="1"/>
        <v>0</v>
      </c>
      <c r="I17" s="85">
        <f t="shared" si="1"/>
        <v>44</v>
      </c>
      <c r="J17" s="86">
        <f>SUM(J5:J16)</f>
        <v>132</v>
      </c>
      <c r="K17" s="85">
        <f t="shared" si="1"/>
        <v>519</v>
      </c>
      <c r="L17" s="86">
        <f t="shared" si="1"/>
        <v>1124</v>
      </c>
    </row>
  </sheetData>
  <mergeCells count="7">
    <mergeCell ref="B2:B4"/>
    <mergeCell ref="C2:J2"/>
    <mergeCell ref="K2:L3"/>
    <mergeCell ref="C3:D3"/>
    <mergeCell ref="E3:F3"/>
    <mergeCell ref="G3:H3"/>
    <mergeCell ref="I3:J3"/>
  </mergeCells>
  <phoneticPr fontId="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B1:L17"/>
  <sheetViews>
    <sheetView showGridLines="0" workbookViewId="0">
      <selection activeCell="F13" sqref="F13"/>
    </sheetView>
  </sheetViews>
  <sheetFormatPr defaultRowHeight="16.5"/>
  <cols>
    <col min="1" max="1" width="2.75" customWidth="1"/>
    <col min="2" max="2" width="11.875" style="15" customWidth="1"/>
    <col min="3" max="6" width="12.375" style="15" customWidth="1"/>
    <col min="7" max="12" width="12.375" customWidth="1"/>
  </cols>
  <sheetData>
    <row r="1" spans="2:12" ht="26.25">
      <c r="B1" s="79" t="s">
        <v>92</v>
      </c>
      <c r="C1" s="80"/>
      <c r="D1" s="80"/>
      <c r="E1" s="80"/>
      <c r="F1" s="80"/>
      <c r="G1" s="30"/>
      <c r="H1" s="30"/>
      <c r="I1" s="30"/>
      <c r="J1" s="30"/>
      <c r="K1" s="30"/>
      <c r="L1" s="30"/>
    </row>
    <row r="2" spans="2:12" ht="21" customHeight="1">
      <c r="B2" s="242" t="s">
        <v>93</v>
      </c>
      <c r="C2" s="245" t="s">
        <v>94</v>
      </c>
      <c r="D2" s="246"/>
      <c r="E2" s="246"/>
      <c r="F2" s="246"/>
      <c r="G2" s="246"/>
      <c r="H2" s="246"/>
      <c r="I2" s="246"/>
      <c r="J2" s="247"/>
      <c r="K2" s="248" t="s">
        <v>95</v>
      </c>
      <c r="L2" s="249"/>
    </row>
    <row r="3" spans="2:12" ht="21" customHeight="1">
      <c r="B3" s="243"/>
      <c r="C3" s="245" t="s">
        <v>96</v>
      </c>
      <c r="D3" s="247"/>
      <c r="E3" s="245" t="s">
        <v>91</v>
      </c>
      <c r="F3" s="247"/>
      <c r="G3" s="245" t="s">
        <v>97</v>
      </c>
      <c r="H3" s="247"/>
      <c r="I3" s="245" t="s">
        <v>31</v>
      </c>
      <c r="J3" s="247"/>
      <c r="K3" s="250"/>
      <c r="L3" s="251"/>
    </row>
    <row r="4" spans="2:12" ht="21" customHeight="1">
      <c r="B4" s="244"/>
      <c r="C4" s="81" t="s">
        <v>87</v>
      </c>
      <c r="D4" s="81" t="s">
        <v>88</v>
      </c>
      <c r="E4" s="81" t="s">
        <v>87</v>
      </c>
      <c r="F4" s="81" t="s">
        <v>88</v>
      </c>
      <c r="G4" s="81" t="s">
        <v>87</v>
      </c>
      <c r="H4" s="81" t="s">
        <v>88</v>
      </c>
      <c r="I4" s="81" t="s">
        <v>87</v>
      </c>
      <c r="J4" s="81" t="s">
        <v>88</v>
      </c>
      <c r="K4" s="81" t="s">
        <v>87</v>
      </c>
      <c r="L4" s="81" t="s">
        <v>88</v>
      </c>
    </row>
    <row r="5" spans="2:12" ht="21" customHeight="1">
      <c r="B5" s="82" t="s">
        <v>21</v>
      </c>
      <c r="C5" s="83"/>
      <c r="D5" s="84"/>
      <c r="E5" s="83">
        <f>SUMIFS(Daily!$R:$R, Daily!$AA:$AA, "*허준영*", Daily!$I:$I, "수리완료",Daily!$F:$F,"&lt;&gt;", Daily!$G:$G, "=1")+SUMIFS(Daily!$R:$R, Daily!$AA:$AA, "*허준영*", Daily!$I:$I, "외주수리완료",Daily!$F:$F,"&lt;&gt;", Daily!$G:$G, "=1")</f>
        <v>27</v>
      </c>
      <c r="F5" s="83">
        <f>SUMIFS(Daily!$Y:$Y, Daily!$AA:$AA, "*허준영*", Daily!$I:$I, "*수리완료",Daily!$F:$F,"&lt;&gt;", Daily!$G:$G, "=1")+SUMIFS(Daily!$Y:$Y, Daily!$AA:$AA, "*허준영*", Daily!$I:$I, "폐기",Daily!$F:$F,"&lt;&gt;", Daily!$G:$G, "=1")+SUMIFS(Daily!$Y:$Y, Daily!$AA:$AA, "*허준영*", Daily!$I:$I, "수리불가",Daily!$F:$F,"&lt;&gt;", Daily!$G:$G, "=1")</f>
        <v>103</v>
      </c>
      <c r="G5" s="83"/>
      <c r="H5" s="84"/>
      <c r="I5" s="83">
        <f>SUMIFS(Daily!$R:$R, Daily!$AA:$AA, "*허준영*", Daily!$I:$I, "Other", Daily!$F:$F,"&lt;&gt;", Daily!$G:$G, "=1")</f>
        <v>4</v>
      </c>
      <c r="J5" s="83">
        <f>SUMIFS(Daily!$Y:$Y, Daily!$AA:$AA, "*허준영*", Daily!$I:$I, "Other",Daily!$F:$F,"&lt;&gt;", Daily!$G:$G, "=1")</f>
        <v>8</v>
      </c>
      <c r="K5" s="83">
        <f>C5+E5+G5+I5</f>
        <v>31</v>
      </c>
      <c r="L5" s="84">
        <f>D5+F5+H5+J5</f>
        <v>111</v>
      </c>
    </row>
    <row r="6" spans="2:12" ht="21" customHeight="1">
      <c r="B6" s="82" t="s">
        <v>36</v>
      </c>
      <c r="C6" s="83"/>
      <c r="D6" s="84"/>
      <c r="E6" s="83">
        <f>SUMIFS(Daily!$R:$R, Daily!$AA:$AA, "*허준영*", Daily!$I:$I, "수리완료",Daily!$F:$F,"&lt;&gt;", Daily!$G:$G, "=2")+SUMIFS(Daily!$R:$R, Daily!$AA:$AA, "*허준영*", Daily!$I:$I, "외주수리완료",Daily!$F:$F,"&lt;&gt;", Daily!$G:$G, "=2")</f>
        <v>35</v>
      </c>
      <c r="F6" s="83">
        <f>SUMIFS(Daily!$Y:$Y, Daily!$AA:$AA, "*허준영*", Daily!$I:$I, "*수리완료",Daily!$F:$F,"&lt;&gt;", Daily!$G:$G, "=2")+SUMIFS(Daily!$Y:$Y, Daily!$AA:$AA, "*허준영*", Daily!$I:$I, "폐기",Daily!$F:$F,"&lt;&gt;", Daily!$G:$G, "=2")+SUMIFS(Daily!$Y:$Y, Daily!$AA:$AA, "*허준영*", Daily!$I:$I, "수리불가",Daily!$F:$F,"&lt;&gt;", Daily!$G:$G, "=2")</f>
        <v>104</v>
      </c>
      <c r="G6" s="83"/>
      <c r="H6" s="84"/>
      <c r="I6" s="83">
        <f>SUMIFS(Daily!$R:$R, Daily!$AA:$AA, "*허준영*", Daily!$I:$I, "Other", Daily!$F:$F,"&lt;&gt;", Daily!$G:$G, "=2")</f>
        <v>1</v>
      </c>
      <c r="J6" s="83">
        <f>SUMIFS(Daily!$Y:$Y, Daily!$AA:$AA, "*허준영*", Daily!$I:$I, "Other",Daily!$F:$F,"&lt;&gt;", Daily!$G:$G, "=2")</f>
        <v>2</v>
      </c>
      <c r="K6" s="83">
        <f t="shared" ref="K6:L16" si="0">C6+E6+G6+I6</f>
        <v>36</v>
      </c>
      <c r="L6" s="84">
        <f t="shared" si="0"/>
        <v>106</v>
      </c>
    </row>
    <row r="7" spans="2:12" ht="21" customHeight="1">
      <c r="B7" s="82" t="s">
        <v>19</v>
      </c>
      <c r="C7" s="83"/>
      <c r="D7" s="84"/>
      <c r="E7" s="83">
        <f>SUMIFS(Daily!$R:$R, Daily!$AA:$AA, "*허준영*", Daily!$I:$I, "수리완료",Daily!$F:$F,"&lt;&gt;", Daily!$G:$G, "=3")+SUMIFS(Daily!$R:$R, Daily!$AA:$AA, "*허준영*", Daily!$I:$I, "외주수리완료",Daily!$F:$F,"&lt;&gt;", Daily!$G:$G, "=3")</f>
        <v>33</v>
      </c>
      <c r="F7" s="83">
        <f>SUMIFS(Daily!$Y:$Y, Daily!$AA:$AA, "*허준영*", Daily!$I:$I, "*수리완료",Daily!$F:$F,"&lt;&gt;", Daily!$G:$G, "=3")+SUMIFS(Daily!$Y:$Y, Daily!$AA:$AA, "*허준영*", Daily!$I:$I, "폐기",Daily!$F:$F,"&lt;&gt;", Daily!$G:$G, "=3")+SUMIFS(Daily!$Y:$Y, Daily!$AA:$AA, "*허준영*", Daily!$I:$I, "수리불가",Daily!$F:$F,"&lt;&gt;", Daily!$G:$G, "=3")</f>
        <v>102</v>
      </c>
      <c r="G7" s="83"/>
      <c r="H7" s="84"/>
      <c r="I7" s="83">
        <f>SUMIFS(Daily!$R:$R, Daily!$AA:$AA, "*허준영*", Daily!$I:$I, "Other", Daily!$F:$F,"&lt;&gt;", Daily!$G:$G, "=3")</f>
        <v>0</v>
      </c>
      <c r="J7" s="83">
        <f>SUMIFS(Daily!$Y:$Y, Daily!$AA:$AA, "*허준영*", Daily!$I:$I, "Other",Daily!$F:$F,"&lt;&gt;", Daily!$G:$G, "=3")</f>
        <v>0</v>
      </c>
      <c r="K7" s="83">
        <f t="shared" si="0"/>
        <v>33</v>
      </c>
      <c r="L7" s="84">
        <f t="shared" si="0"/>
        <v>102</v>
      </c>
    </row>
    <row r="8" spans="2:12" ht="21" customHeight="1">
      <c r="B8" s="82" t="s">
        <v>37</v>
      </c>
      <c r="C8" s="83"/>
      <c r="D8" s="84"/>
      <c r="E8" s="83">
        <f>SUMIFS(Daily!$R:$R, Daily!$AA:$AA, "*허준영*", Daily!$I:$I, "수리완료",Daily!$F:$F,"&lt;&gt;", Daily!$G:$G, "=4")+SUMIFS(Daily!$R:$R, Daily!$AA:$AA, "*허준영*", Daily!$I:$I, "외주수리완료",Daily!$F:$F,"&lt;&gt;", Daily!$G:$G, "=4")</f>
        <v>25</v>
      </c>
      <c r="F8" s="83">
        <f>SUMIFS(Daily!$Y:$Y, Daily!$AA:$AA, "*허준영*", Daily!$I:$I, "*수리완료",Daily!$F:$F,"&lt;&gt;", Daily!$G:$G, "=4")+SUMIFS(Daily!$Y:$Y, Daily!$AA:$AA, "*허준영*", Daily!$I:$I, "폐기",Daily!$F:$F,"&lt;&gt;", Daily!$G:$G, "=4")+SUMIFS(Daily!$Y:$Y, Daily!$AA:$AA, "*허준영*", Daily!$I:$I, "수리불가",Daily!$F:$F,"&lt;&gt;", Daily!$G:$G, "=4")</f>
        <v>99</v>
      </c>
      <c r="G8" s="83"/>
      <c r="H8" s="84"/>
      <c r="I8" s="83">
        <f>SUMIFS(Daily!$R:$R, Daily!$AA:$AA, "*허준영*", Daily!$I:$I, "Other", Daily!$F:$F,"&lt;&gt;", Daily!$G:$G, "=4")</f>
        <v>0</v>
      </c>
      <c r="J8" s="83">
        <f>SUMIFS(Daily!$Y:$Y, Daily!$AA:$AA, "*허준영*", Daily!$I:$I, "Other",Daily!$F:$F,"&lt;&gt;", Daily!$G:$G, "=4")</f>
        <v>0</v>
      </c>
      <c r="K8" s="83">
        <f t="shared" si="0"/>
        <v>25</v>
      </c>
      <c r="L8" s="84">
        <f t="shared" si="0"/>
        <v>99</v>
      </c>
    </row>
    <row r="9" spans="2:12" ht="21" customHeight="1">
      <c r="B9" s="82" t="s">
        <v>46</v>
      </c>
      <c r="C9" s="83"/>
      <c r="D9" s="84"/>
      <c r="E9" s="83">
        <f>SUMIFS(Daily!$R:$R, Daily!$AA:$AA, "*허준영*", Daily!$I:$I, "수리완료",Daily!$F:$F,"&lt;&gt;", Daily!$G:$G, "=5")+SUMIFS(Daily!$R:$R, Daily!$AA:$AA, "*허준영*", Daily!$I:$I, "외주수리완료",Daily!$F:$F,"&lt;&gt;", Daily!$G:$G, "=5")</f>
        <v>21</v>
      </c>
      <c r="F9" s="83">
        <f>SUMIFS(Daily!$Y:$Y, Daily!$AA:$AA, "*허준영*", Daily!$I:$I, "*수리완료",Daily!$F:$F,"&lt;&gt;", Daily!$G:$G, "=5")+SUMIFS(Daily!$Y:$Y, Daily!$AA:$AA, "*허준영*", Daily!$I:$I, "폐기",Daily!$F:$F,"&lt;&gt;", Daily!$G:$G, "=5")+SUMIFS(Daily!$Y:$Y, Daily!$AA:$AA, "*허준영*", Daily!$I:$I, "수리불가",Daily!$F:$F,"&lt;&gt;", Daily!$G:$G, "=5")</f>
        <v>59</v>
      </c>
      <c r="G9" s="83"/>
      <c r="H9" s="84"/>
      <c r="I9" s="83">
        <f>SUMIFS(Daily!$R:$R, Daily!$AA:$AA, "*허준영*", Daily!$I:$I, "Other", Daily!$F:$F,"&lt;&gt;", Daily!$G:$G, "=5")</f>
        <v>4</v>
      </c>
      <c r="J9" s="83">
        <f>SUMIFS(Daily!$Y:$Y, Daily!$AA:$AA, "*허준영*", Daily!$I:$I, "Other",Daily!$F:$F,"&lt;&gt;", Daily!$G:$G, "=5")</f>
        <v>27</v>
      </c>
      <c r="K9" s="83">
        <f t="shared" si="0"/>
        <v>25</v>
      </c>
      <c r="L9" s="84">
        <f t="shared" si="0"/>
        <v>86</v>
      </c>
    </row>
    <row r="10" spans="2:12" ht="21" customHeight="1">
      <c r="B10" s="82" t="s">
        <v>45</v>
      </c>
      <c r="C10" s="83"/>
      <c r="D10" s="84"/>
      <c r="E10" s="83">
        <f>SUMIFS(Daily!$R:$R, Daily!$AA:$AA, "*허준영*", Daily!$I:$I, "수리완료",Daily!$F:$F,"&lt;&gt;", Daily!$G:$G, "=6")+SUMIFS(Daily!$R:$R, Daily!$AA:$AA, "*허준영*", Daily!$I:$I, "외주수리완료",Daily!$F:$F,"&lt;&gt;", Daily!$G:$G, "=6")</f>
        <v>28</v>
      </c>
      <c r="F10" s="83">
        <f>SUMIFS(Daily!$Y:$Y, Daily!$AA:$AA, "*허준영*", Daily!$I:$I, "*수리완료",Daily!$F:$F,"&lt;&gt;", Daily!$G:$G, "=6")+SUMIFS(Daily!$Y:$Y, Daily!$AA:$AA, "*허준영*", Daily!$I:$I, "폐기",Daily!$F:$F,"&lt;&gt;", Daily!$G:$G, "=6")+SUMIFS(Daily!$Y:$Y, Daily!$AA:$AA, "*허준영*", Daily!$I:$I, "수리불가",Daily!$F:$F,"&lt;&gt;", Daily!$G:$G, "=6")</f>
        <v>108</v>
      </c>
      <c r="G10" s="83"/>
      <c r="H10" s="84"/>
      <c r="I10" s="83">
        <f>SUMIFS(Daily!$R:$R, Daily!$AA:$AA, "*허준영*", Daily!$I:$I, "Other", Daily!$F:$F,"&lt;&gt;", Daily!$G:$G, "=6")</f>
        <v>4</v>
      </c>
      <c r="J10" s="83">
        <f>SUMIFS(Daily!$Y:$Y, Daily!$AA:$AA, "*허준영*", Daily!$I:$I, "Other",Daily!$F:$F,"&lt;&gt;", Daily!$G:$G, "=6")</f>
        <v>13</v>
      </c>
      <c r="K10" s="83">
        <f t="shared" si="0"/>
        <v>32</v>
      </c>
      <c r="L10" s="84">
        <f t="shared" si="0"/>
        <v>121</v>
      </c>
    </row>
    <row r="11" spans="2:12" ht="21" customHeight="1">
      <c r="B11" s="82" t="s">
        <v>48</v>
      </c>
      <c r="C11" s="83"/>
      <c r="D11" s="84"/>
      <c r="E11" s="83">
        <f>SUMIFS(Daily!$R:$R, Daily!$AA:$AA, "*허준영*", Daily!$I:$I, "수리완료",Daily!$F:$F,"&lt;&gt;", Daily!$G:$G, "=7")+SUMIFS(Daily!$R:$R, Daily!$AA:$AA, "*허준영*", Daily!$I:$I, "외주수리완료",Daily!$F:$F,"&lt;&gt;", Daily!$G:$G, "=7")</f>
        <v>30</v>
      </c>
      <c r="F11" s="83">
        <f>SUMIFS(Daily!$Y:$Y, Daily!$AA:$AA, "*허준영*", Daily!$I:$I, "*수리완료",Daily!$F:$F,"&lt;&gt;", Daily!$G:$G, "=7")+SUMIFS(Daily!$Y:$Y, Daily!$AA:$AA, "*허준영*", Daily!$I:$I, "폐기",Daily!$F:$F,"&lt;&gt;", Daily!$G:$G, "=7")+SUMIFS(Daily!$Y:$Y, Daily!$AA:$AA, "*허준영*", Daily!$I:$I, "수리불가",Daily!$F:$F,"&lt;&gt;", Daily!$G:$G, "=7")</f>
        <v>96</v>
      </c>
      <c r="G11" s="83"/>
      <c r="H11" s="84"/>
      <c r="I11" s="83">
        <f>SUMIFS(Daily!$R:$R, Daily!$AA:$AA, "*허준영*", Daily!$I:$I, "Other", Daily!$F:$F,"&lt;&gt;", Daily!$G:$G, "=7")</f>
        <v>7</v>
      </c>
      <c r="J11" s="83">
        <f>SUMIFS(Daily!$Y:$Y, Daily!$AA:$AA, "*허준영*", Daily!$I:$I, "Other",Daily!$F:$F,"&lt;&gt;", Daily!$G:$G, "=7")</f>
        <v>16</v>
      </c>
      <c r="K11" s="83">
        <f t="shared" si="0"/>
        <v>37</v>
      </c>
      <c r="L11" s="84">
        <f t="shared" si="0"/>
        <v>112</v>
      </c>
    </row>
    <row r="12" spans="2:12" ht="21" customHeight="1">
      <c r="B12" s="82" t="s">
        <v>50</v>
      </c>
      <c r="C12" s="83"/>
      <c r="D12" s="84"/>
      <c r="E12" s="83">
        <f>SUMIFS(Daily!$R:$R, Daily!$AA:$AA, "*허준영*", Daily!$I:$I, "수리완료",Daily!$F:$F,"&lt;&gt;", Daily!$G:$G, "=8")+SUMIFS(Daily!$R:$R, Daily!$AA:$AA, "*허준영*", Daily!$I:$I, "외주수리완료",Daily!$F:$F,"&lt;&gt;", Daily!$G:$G, "=8")</f>
        <v>18</v>
      </c>
      <c r="F12" s="83">
        <f>SUMIFS(Daily!$Y:$Y, Daily!$AA:$AA, "*허준영*", Daily!$I:$I, "*수리완료",Daily!$F:$F,"&lt;&gt;", Daily!$G:$G, "=8")+SUMIFS(Daily!$Y:$Y, Daily!$AA:$AA, "*허준영*", Daily!$I:$I, "폐기",Daily!$F:$F,"&lt;&gt;", Daily!$G:$G, "=8")+SUMIFS(Daily!$Y:$Y, Daily!$AA:$AA, "*허준영*", Daily!$I:$I, "수리불가",Daily!$F:$F,"&lt;&gt;", Daily!$G:$G, "=8")</f>
        <v>66</v>
      </c>
      <c r="G12" s="83"/>
      <c r="H12" s="84"/>
      <c r="I12" s="83">
        <f>SUMIFS(Daily!$R:$R, Daily!$AA:$AA, "*허준영*", Daily!$I:$I, "Other", Daily!$F:$F,"&lt;&gt;", Daily!$G:$G, "=8")</f>
        <v>14</v>
      </c>
      <c r="J12" s="83">
        <f>SUMIFS(Daily!$Y:$Y, Daily!$AA:$AA, "*허준영*", Daily!$I:$I, "Other",Daily!$F:$F,"&lt;&gt;", Daily!$G:$G, "=8")</f>
        <v>56</v>
      </c>
      <c r="K12" s="83">
        <f t="shared" si="0"/>
        <v>32</v>
      </c>
      <c r="L12" s="84">
        <f t="shared" si="0"/>
        <v>122</v>
      </c>
    </row>
    <row r="13" spans="2:12" ht="21" customHeight="1">
      <c r="B13" s="82" t="s">
        <v>20</v>
      </c>
      <c r="C13" s="83"/>
      <c r="D13" s="84"/>
      <c r="E13" s="83">
        <f>SUMIFS(Daily!$R:$R, Daily!$AA:$AA, "*허준영*", Daily!$I:$I, "수리완료",Daily!$F:$F,"&lt;&gt;", Daily!$G:$G, "=9")+SUMIFS(Daily!$R:$R, Daily!$AA:$AA, "*허준영*", Daily!$I:$I, "외주수리완료",Daily!$F:$F,"&lt;&gt;", Daily!$G:$G, "=9")</f>
        <v>24</v>
      </c>
      <c r="F13" s="83">
        <f>SUMIFS(Daily!$Y:$Y, Daily!$AA:$AA, "*허준영*", Daily!$I:$I, "*수리완료",Daily!$F:$F,"&lt;&gt;", Daily!$G:$G, "=9")+SUMIFS(Daily!$Y:$Y, Daily!$AA:$AA, "*허준영*", Daily!$I:$I, "폐기",Daily!$F:$F,"&lt;&gt;", Daily!$G:$G, "=9")+SUMIFS(Daily!$Y:$Y, Daily!$AA:$AA, "*허준영*", Daily!$I:$I, "수리불가",Daily!$F:$F,"&lt;&gt;", Daily!$G:$G, "=9")</f>
        <v>60</v>
      </c>
      <c r="G13" s="83"/>
      <c r="H13" s="84"/>
      <c r="I13" s="83">
        <f>SUMIFS(Daily!$R:$R, Daily!$AA:$AA, "*허준영*", Daily!$I:$I, "Other", Daily!$F:$F,"&lt;&gt;", Daily!$G:$G, "=9")</f>
        <v>6</v>
      </c>
      <c r="J13" s="83">
        <f>SUMIFS(Daily!$Y:$Y, Daily!$AA:$AA, "*허준영*", Daily!$I:$I, "Other",Daily!$F:$F,"&lt;&gt;", Daily!$G:$G, "=9")</f>
        <v>38</v>
      </c>
      <c r="K13" s="83">
        <f t="shared" si="0"/>
        <v>30</v>
      </c>
      <c r="L13" s="84">
        <f t="shared" si="0"/>
        <v>98</v>
      </c>
    </row>
    <row r="14" spans="2:12" ht="21" customHeight="1">
      <c r="B14" s="82" t="s">
        <v>98</v>
      </c>
      <c r="C14" s="83"/>
      <c r="D14" s="84"/>
      <c r="E14" s="83">
        <f>SUMIFS(Daily!$R:$R, Daily!$AA:$AA, "*허준영*", Daily!$I:$I, "수리완료",Daily!$F:$F,"&lt;&gt;", Daily!$G:$G, "=10")+SUMIFS(Daily!$R:$R, Daily!$AA:$AA, "*허준영*", Daily!$I:$I, "외주수리완료",Daily!$F:$F,"&lt;&gt;", Daily!$G:$G, "=10")</f>
        <v>25</v>
      </c>
      <c r="F14" s="83">
        <f>SUMIFS(Daily!$Y:$Y, Daily!$AA:$AA, "*허준영*", Daily!$I:$I, "*수리완료",Daily!$F:$F,"&lt;&gt;", Daily!$G:$G, "=10")+SUMIFS(Daily!$Y:$Y, Daily!$AA:$AA, "*허준영*", Daily!$I:$I, "폐기",Daily!$F:$F,"&lt;&gt;", Daily!$G:$G, "=10")+SUMIFS(Daily!$Y:$Y, Daily!$AA:$AA, "*허준영*", Daily!$I:$I, "수리불가",Daily!$F:$F,"&lt;&gt;", Daily!$G:$G, "=10")</f>
        <v>94</v>
      </c>
      <c r="G14" s="83"/>
      <c r="H14" s="84"/>
      <c r="I14" s="83">
        <f>SUMIFS(Daily!$R:$R, Daily!$AA:$AA, "*허준영*", Daily!$I:$I, "Other", Daily!$F:$F,"&lt;&gt;", Daily!$G:$G, "=10")</f>
        <v>4</v>
      </c>
      <c r="J14" s="83">
        <f>SUMIFS(Daily!$Y:$Y, Daily!$AA:$AA, "*허준영*", Daily!$I:$I, "Other",Daily!$F:$F,"&lt;&gt;", Daily!$G:$G, "=10")</f>
        <v>42</v>
      </c>
      <c r="K14" s="83">
        <f t="shared" si="0"/>
        <v>29</v>
      </c>
      <c r="L14" s="84">
        <f t="shared" si="0"/>
        <v>136</v>
      </c>
    </row>
    <row r="15" spans="2:12" ht="21" customHeight="1">
      <c r="B15" s="82" t="s">
        <v>25</v>
      </c>
      <c r="C15" s="83"/>
      <c r="D15" s="84"/>
      <c r="E15" s="83">
        <f>SUMIFS(Daily!$R:$R, Daily!$AA:$AA, "*허준영*", Daily!$I:$I, "수리완료",Daily!$F:$F,"&lt;&gt;", Daily!$G:$G, "=11")+SUMIFS(Daily!$R:$R, Daily!$AA:$AA, "*허준영*", Daily!$I:$I, "외주수리완료",Daily!$F:$F,"&lt;&gt;", Daily!$G:$G, "=11")</f>
        <v>26</v>
      </c>
      <c r="F15" s="83">
        <f>SUMIFS(Daily!$Y:$Y, Daily!$AA:$AA, "*허준영*", Daily!$I:$I, "*수리완료",Daily!$F:$F,"&lt;&gt;", Daily!$G:$G, "=11")+SUMIFS(Daily!$Y:$Y, Daily!$AA:$AA, "*허준영*", Daily!$I:$I, "폐기",Daily!$F:$F,"&lt;&gt;", Daily!$G:$G, "=11")+SUMIFS(Daily!$Y:$Y, Daily!$AA:$AA, "*허준영*", Daily!$I:$I, "수리불가",Daily!$F:$F,"&lt;&gt;", Daily!$G:$G, "=11")</f>
        <v>83</v>
      </c>
      <c r="G15" s="83"/>
      <c r="H15" s="84"/>
      <c r="I15" s="83">
        <f>SUMIFS(Daily!$R:$R, Daily!$AA:$AA, "*허준영*", Daily!$I:$I, "Other", Daily!$F:$F,"&lt;&gt;", Daily!$G:$G, "=11")</f>
        <v>7</v>
      </c>
      <c r="J15" s="83">
        <f>SUMIFS(Daily!$Y:$Y, Daily!$AA:$AA, "*허준영*", Daily!$I:$I, "Other",Daily!$F:$F,"&lt;&gt;", Daily!$G:$G, "=11")</f>
        <v>21</v>
      </c>
      <c r="K15" s="83">
        <f t="shared" si="0"/>
        <v>33</v>
      </c>
      <c r="L15" s="84">
        <f t="shared" si="0"/>
        <v>104</v>
      </c>
    </row>
    <row r="16" spans="2:12" ht="21" customHeight="1">
      <c r="B16" s="82" t="s">
        <v>26</v>
      </c>
      <c r="C16" s="83"/>
      <c r="D16" s="84"/>
      <c r="E16" s="83">
        <f>SUMIFS(Daily!$R:$R, Daily!$AA:$AA, "*허준영*", Daily!$I:$I, "수리완료",Daily!$F:$F,"&lt;&gt;", Daily!$G:$G, "=12")+SUMIFS(Daily!$R:$R, Daily!$AA:$AA, "*허준영*", Daily!$I:$I, "외주수리완료",Daily!$F:$F,"&lt;&gt;", Daily!$G:$G, "=12")</f>
        <v>27</v>
      </c>
      <c r="F16" s="83">
        <f>SUMIFS(Daily!$Y:$Y, Daily!$AA:$AA, "*허준영*", Daily!$I:$I, "*수리완료",Daily!$F:$F,"&lt;&gt;", Daily!$G:$G, "=12")+SUMIFS(Daily!$Y:$Y, Daily!$AA:$AA, "*허준영*", Daily!$I:$I, "폐기",Daily!$F:$F,"&lt;&gt;", Daily!$G:$G, "=12")+SUMIFS(Daily!$Y:$Y, Daily!$AA:$AA, "*허준영*", Daily!$I:$I, "수리불가",Daily!$F:$F,"&lt;&gt;", Daily!$G:$G, "=12")</f>
        <v>71</v>
      </c>
      <c r="G16" s="83"/>
      <c r="H16" s="84"/>
      <c r="I16" s="83">
        <f>SUMIFS(Daily!$R:$R, Daily!$AA:$AA, "*허준영*", Daily!$I:$I, "Other", Daily!$F:$F,"&lt;&gt;", Daily!$G:$G, "=12")</f>
        <v>4</v>
      </c>
      <c r="J16" s="83">
        <f>SUMIFS(Daily!$Y:$Y, Daily!$AA:$AA, "*허준영*", Daily!$I:$I, "Other",Daily!$F:$F,"&lt;&gt;", Daily!$G:$G, "=12")</f>
        <v>14</v>
      </c>
      <c r="K16" s="83">
        <f t="shared" si="0"/>
        <v>31</v>
      </c>
      <c r="L16" s="84">
        <f t="shared" si="0"/>
        <v>85</v>
      </c>
    </row>
    <row r="17" spans="2:12" ht="21" customHeight="1">
      <c r="B17" s="81" t="s">
        <v>95</v>
      </c>
      <c r="C17" s="85">
        <f t="shared" ref="C17:L17" si="1">SUM(C5:C16)</f>
        <v>0</v>
      </c>
      <c r="D17" s="81">
        <f t="shared" si="1"/>
        <v>0</v>
      </c>
      <c r="E17" s="85">
        <f t="shared" si="1"/>
        <v>319</v>
      </c>
      <c r="F17" s="86">
        <f t="shared" si="1"/>
        <v>1045</v>
      </c>
      <c r="G17" s="85">
        <f t="shared" si="1"/>
        <v>0</v>
      </c>
      <c r="H17" s="86">
        <f t="shared" si="1"/>
        <v>0</v>
      </c>
      <c r="I17" s="85">
        <f t="shared" si="1"/>
        <v>55</v>
      </c>
      <c r="J17" s="86">
        <f t="shared" si="1"/>
        <v>237</v>
      </c>
      <c r="K17" s="85">
        <f t="shared" si="1"/>
        <v>374</v>
      </c>
      <c r="L17" s="86">
        <f t="shared" si="1"/>
        <v>1282</v>
      </c>
    </row>
  </sheetData>
  <mergeCells count="7">
    <mergeCell ref="B2:B4"/>
    <mergeCell ref="C2:J2"/>
    <mergeCell ref="K2:L3"/>
    <mergeCell ref="C3:D3"/>
    <mergeCell ref="E3:F3"/>
    <mergeCell ref="G3:H3"/>
    <mergeCell ref="I3:J3"/>
  </mergeCells>
  <phoneticPr fontId="3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B1:L17"/>
  <sheetViews>
    <sheetView showGridLines="0" workbookViewId="0">
      <selection activeCell="F6" sqref="F6"/>
    </sheetView>
  </sheetViews>
  <sheetFormatPr defaultRowHeight="16.5"/>
  <cols>
    <col min="1" max="1" width="2.75" customWidth="1"/>
    <col min="2" max="2" width="11.875" style="15" customWidth="1"/>
    <col min="3" max="6" width="12.375" style="15" customWidth="1"/>
    <col min="7" max="12" width="12.375" customWidth="1"/>
  </cols>
  <sheetData>
    <row r="1" spans="2:12" ht="26.25">
      <c r="B1" s="79" t="s">
        <v>92</v>
      </c>
      <c r="C1" s="80"/>
      <c r="D1" s="80"/>
      <c r="E1" s="80"/>
      <c r="F1" s="80"/>
      <c r="G1" s="30"/>
      <c r="H1" s="30"/>
      <c r="I1" s="30"/>
      <c r="J1" s="30"/>
      <c r="K1" s="30"/>
      <c r="L1" s="30"/>
    </row>
    <row r="2" spans="2:12" ht="21" customHeight="1">
      <c r="B2" s="242" t="s">
        <v>93</v>
      </c>
      <c r="C2" s="245" t="s">
        <v>94</v>
      </c>
      <c r="D2" s="246"/>
      <c r="E2" s="246"/>
      <c r="F2" s="246"/>
      <c r="G2" s="246"/>
      <c r="H2" s="246"/>
      <c r="I2" s="246"/>
      <c r="J2" s="247"/>
      <c r="K2" s="248" t="s">
        <v>95</v>
      </c>
      <c r="L2" s="249"/>
    </row>
    <row r="3" spans="2:12" ht="21" customHeight="1">
      <c r="B3" s="243"/>
      <c r="C3" s="245" t="s">
        <v>96</v>
      </c>
      <c r="D3" s="247"/>
      <c r="E3" s="245" t="s">
        <v>91</v>
      </c>
      <c r="F3" s="247"/>
      <c r="G3" s="245" t="s">
        <v>97</v>
      </c>
      <c r="H3" s="247"/>
      <c r="I3" s="245" t="s">
        <v>31</v>
      </c>
      <c r="J3" s="247"/>
      <c r="K3" s="250"/>
      <c r="L3" s="251"/>
    </row>
    <row r="4" spans="2:12" ht="21" customHeight="1">
      <c r="B4" s="244"/>
      <c r="C4" s="81" t="s">
        <v>87</v>
      </c>
      <c r="D4" s="81" t="s">
        <v>88</v>
      </c>
      <c r="E4" s="81" t="s">
        <v>87</v>
      </c>
      <c r="F4" s="81" t="s">
        <v>88</v>
      </c>
      <c r="G4" s="81" t="s">
        <v>87</v>
      </c>
      <c r="H4" s="81" t="s">
        <v>88</v>
      </c>
      <c r="I4" s="81" t="s">
        <v>87</v>
      </c>
      <c r="J4" s="81" t="s">
        <v>88</v>
      </c>
      <c r="K4" s="81" t="s">
        <v>87</v>
      </c>
      <c r="L4" s="81" t="s">
        <v>88</v>
      </c>
    </row>
    <row r="5" spans="2:12" ht="21" customHeight="1">
      <c r="B5" s="82" t="s">
        <v>21</v>
      </c>
      <c r="C5" s="83"/>
      <c r="D5" s="84"/>
      <c r="E5" s="83">
        <f>SUMIFS(Daily!$R:$R, Daily!$AA:$AA, "*박병대*", Daily!$I:$I, "수리완료",Daily!$F:$F,"&lt;&gt;", Daily!$G:$G, "=1")+SUMIFS(Daily!$R:$R, Daily!$AA:$AA, "*박병대*", Daily!$I:$I, "외주수리완료",Daily!$F:$F,"&lt;&gt;", Daily!$G:$G, "=1")</f>
        <v>26</v>
      </c>
      <c r="F5" s="83">
        <f>SUMIFS(Daily!$Y:$Y, Daily!$AA:$AA, "*박병대*", Daily!$I:$I, "*수리완료",Daily!$F:$F,"&lt;&gt;", Daily!$G:$G, "=1")+SUMIFS(Daily!$Y:$Y, Daily!$AA:$AA, "*박병대*", Daily!$I:$I, "폐기",Daily!$F:$F,"&lt;&gt;", Daily!$G:$G, "=1")+SUMIFS(Daily!$Y:$Y, Daily!$AA:$AA, "*박병대*", Daily!$I:$I, "수리불가",Daily!$F:$F,"&lt;&gt;", Daily!$G:$G, "=1")</f>
        <v>136</v>
      </c>
      <c r="G5" s="83"/>
      <c r="H5" s="84"/>
      <c r="I5" s="83">
        <f>SUMIFS(Daily!$R:$R, Daily!$AA:$AA, "*박병대*", Daily!$I:$I, "Other", Daily!$F:$F,"&lt;&gt;", Daily!$G:$G, "=1")</f>
        <v>0</v>
      </c>
      <c r="J5" s="83">
        <f>SUMIFS(Daily!$Y:$Y, Daily!$AA:$AA, "*박병대*", Daily!$I:$I, "Other",Daily!$F:$F,"&lt;&gt;", Daily!$G:$G, "=1")</f>
        <v>0</v>
      </c>
      <c r="K5" s="83">
        <f>C5+E5+G5+I5</f>
        <v>26</v>
      </c>
      <c r="L5" s="84">
        <f>D5+F5+H5+J5</f>
        <v>136</v>
      </c>
    </row>
    <row r="6" spans="2:12" ht="21" customHeight="1">
      <c r="B6" s="82" t="s">
        <v>36</v>
      </c>
      <c r="C6" s="83"/>
      <c r="D6" s="84"/>
      <c r="E6" s="83">
        <f>SUMIFS(Daily!$R:$R, Daily!$AA:$AA, "*박병대*", Daily!$I:$I, "수리완료",Daily!$F:$F,"&lt;&gt;", Daily!$G:$G, "=2")+SUMIFS(Daily!$R:$R, Daily!$AA:$AA, "*박병대*", Daily!$I:$I, "외주수리완료",Daily!$F:$F,"&lt;&gt;", Daily!$G:$G, "=2")</f>
        <v>24</v>
      </c>
      <c r="F6" s="83">
        <f>SUMIFS(Daily!$Y:$Y, Daily!$AA:$AA, "*박병대*", Daily!$I:$I, "*수리완료",Daily!$F:$F,"&lt;&gt;", Daily!$G:$G, "=2")+SUMIFS(Daily!$Y:$Y, Daily!$AA:$AA, "*박병대*", Daily!$I:$I, "폐기",Daily!$F:$F,"&lt;&gt;", Daily!$G:$G, "=2")+SUMIFS(Daily!$Y:$Y, Daily!$AA:$AA, "*박병대*", Daily!$I:$I, "수리불가",Daily!$F:$F,"&lt;&gt;", Daily!$G:$G, "=2")</f>
        <v>88</v>
      </c>
      <c r="G6" s="83"/>
      <c r="H6" s="84"/>
      <c r="I6" s="83">
        <f>SUMIFS(Daily!$R:$R, Daily!$AA:$AA, "*박병대*", Daily!$I:$I, "Other", Daily!$F:$F,"&lt;&gt;", Daily!$G:$G, "=2")</f>
        <v>0</v>
      </c>
      <c r="J6" s="83">
        <f>SUMIFS(Daily!$Y:$Y, Daily!$AA:$AA, "*박병대*", Daily!$I:$I, "Other",Daily!$F:$F,"&lt;&gt;", Daily!$G:$G, "=2")</f>
        <v>0</v>
      </c>
      <c r="K6" s="83">
        <f t="shared" ref="K6:L16" si="0">C6+E6+G6+I6</f>
        <v>24</v>
      </c>
      <c r="L6" s="84">
        <f t="shared" si="0"/>
        <v>88</v>
      </c>
    </row>
    <row r="7" spans="2:12" ht="21" customHeight="1">
      <c r="B7" s="82" t="s">
        <v>19</v>
      </c>
      <c r="C7" s="83"/>
      <c r="D7" s="84"/>
      <c r="E7" s="83">
        <f>SUMIFS(Daily!$R:$R, Daily!$AA:$AA, "*박병대*", Daily!$I:$I, "수리완료",Daily!$F:$F,"&lt;&gt;", Daily!$G:$G, "=3")+SUMIFS(Daily!$R:$R, Daily!$AA:$AA, "*박병대*", Daily!$I:$I, "외주수리완료",Daily!$F:$F,"&lt;&gt;", Daily!$G:$G, "=3")</f>
        <v>23</v>
      </c>
      <c r="F7" s="83">
        <f>SUMIFS(Daily!$Y:$Y, Daily!$AA:$AA, "*박병대*", Daily!$I:$I, "*수리완료",Daily!$F:$F,"&lt;&gt;", Daily!$G:$G, "=3")+SUMIFS(Daily!$Y:$Y, Daily!$AA:$AA, "*박병대*", Daily!$I:$I, "폐기",Daily!$F:$F,"&lt;&gt;", Daily!$G:$G, "=3")+SUMIFS(Daily!$Y:$Y, Daily!$AA:$AA, "*박병대*", Daily!$I:$I, "수리불가",Daily!$F:$F,"&lt;&gt;", Daily!$G:$G, "=3")</f>
        <v>116</v>
      </c>
      <c r="G7" s="83"/>
      <c r="H7" s="84"/>
      <c r="I7" s="83">
        <f>SUMIFS(Daily!$R:$R, Daily!$AA:$AA, "*박병대*", Daily!$I:$I, "Other", Daily!$F:$F,"&lt;&gt;", Daily!$G:$G, "=3")</f>
        <v>0</v>
      </c>
      <c r="J7" s="83">
        <f>SUMIFS(Daily!$Y:$Y, Daily!$AA:$AA, "*박병대*", Daily!$I:$I, "Other",Daily!$F:$F,"&lt;&gt;", Daily!$G:$G, "=3")</f>
        <v>0</v>
      </c>
      <c r="K7" s="83">
        <f t="shared" si="0"/>
        <v>23</v>
      </c>
      <c r="L7" s="84">
        <f t="shared" si="0"/>
        <v>116</v>
      </c>
    </row>
    <row r="8" spans="2:12" ht="21" customHeight="1">
      <c r="B8" s="82" t="s">
        <v>37</v>
      </c>
      <c r="C8" s="83"/>
      <c r="D8" s="84"/>
      <c r="E8" s="83">
        <f>SUMIFS(Daily!$R:$R, Daily!$AA:$AA, "*박병대*", Daily!$I:$I, "수리완료",Daily!$F:$F,"&lt;&gt;", Daily!$G:$G, "=4")+SUMIFS(Daily!$R:$R, Daily!$AA:$AA, "*박병대*", Daily!$I:$I, "외주수리완료",Daily!$F:$F,"&lt;&gt;", Daily!$G:$G, "=4")</f>
        <v>33</v>
      </c>
      <c r="F8" s="83">
        <f>SUMIFS(Daily!$Y:$Y, Daily!$AA:$AA, "*박병대*", Daily!$I:$I, "*수리완료",Daily!$F:$F,"&lt;&gt;", Daily!$G:$G, "=4")+SUMIFS(Daily!$Y:$Y, Daily!$AA:$AA, "*박병대*", Daily!$I:$I, "폐기",Daily!$F:$F,"&lt;&gt;", Daily!$G:$G, "=4")+SUMIFS(Daily!$Y:$Y, Daily!$AA:$AA, "*박병대*", Daily!$I:$I, "수리불가",Daily!$F:$F,"&lt;&gt;", Daily!$G:$G, "=4")</f>
        <v>85</v>
      </c>
      <c r="G8" s="83"/>
      <c r="H8" s="84"/>
      <c r="I8" s="83">
        <f>SUMIFS(Daily!$R:$R, Daily!$AA:$AA, "*박병대*", Daily!$I:$I, "Other", Daily!$F:$F,"&lt;&gt;", Daily!$G:$G, "=4")</f>
        <v>0</v>
      </c>
      <c r="J8" s="83">
        <f>SUMIFS(Daily!$Y:$Y, Daily!$AA:$AA, "*박병대*", Daily!$I:$I, "Other",Daily!$F:$F,"&lt;&gt;", Daily!$G:$G, "=4")</f>
        <v>0</v>
      </c>
      <c r="K8" s="83">
        <f t="shared" si="0"/>
        <v>33</v>
      </c>
      <c r="L8" s="84">
        <f t="shared" si="0"/>
        <v>85</v>
      </c>
    </row>
    <row r="9" spans="2:12" ht="21" customHeight="1">
      <c r="B9" s="82" t="s">
        <v>46</v>
      </c>
      <c r="C9" s="83"/>
      <c r="D9" s="84"/>
      <c r="E9" s="83">
        <f>SUMIFS(Daily!$R:$R, Daily!$AA:$AA, "*박병대*", Daily!$I:$I, "수리완료",Daily!$F:$F,"&lt;&gt;", Daily!$G:$G, "=5")+SUMIFS(Daily!$R:$R, Daily!$AA:$AA, "*박병대*", Daily!$I:$I, "외주수리완료",Daily!$F:$F,"&lt;&gt;", Daily!$G:$G, "=5")</f>
        <v>25</v>
      </c>
      <c r="F9" s="83">
        <f>SUMIFS(Daily!$Y:$Y, Daily!$AA:$AA, "*박병대*", Daily!$I:$I, "*수리완료",Daily!$F:$F,"&lt;&gt;", Daily!$G:$G, "=5")+SUMIFS(Daily!$Y:$Y, Daily!$AA:$AA, "*박병대*", Daily!$I:$I, "폐기",Daily!$F:$F,"&lt;&gt;", Daily!$G:$G, "=5")+SUMIFS(Daily!$Y:$Y, Daily!$AA:$AA, "*박병대*", Daily!$I:$I, "수리불가",Daily!$F:$F,"&lt;&gt;", Daily!$G:$G, "=5")</f>
        <v>62</v>
      </c>
      <c r="G9" s="83"/>
      <c r="H9" s="84"/>
      <c r="I9" s="83">
        <f>SUMIFS(Daily!$R:$R, Daily!$AA:$AA, "*박병대*", Daily!$I:$I, "Other", Daily!$F:$F,"&lt;&gt;", Daily!$G:$G, "=5")</f>
        <v>0</v>
      </c>
      <c r="J9" s="83">
        <f>SUMIFS(Daily!$Y:$Y, Daily!$AA:$AA, "*박병대*", Daily!$I:$I, "Other",Daily!$F:$F,"&lt;&gt;", Daily!$G:$G, "=5")</f>
        <v>0</v>
      </c>
      <c r="K9" s="83">
        <f t="shared" si="0"/>
        <v>25</v>
      </c>
      <c r="L9" s="84">
        <f t="shared" si="0"/>
        <v>62</v>
      </c>
    </row>
    <row r="10" spans="2:12" ht="21" customHeight="1">
      <c r="B10" s="82" t="s">
        <v>45</v>
      </c>
      <c r="C10" s="83"/>
      <c r="D10" s="84"/>
      <c r="E10" s="83">
        <f>SUMIFS(Daily!$R:$R, Daily!$AA:$AA, "*박병대*", Daily!$I:$I, "수리완료",Daily!$F:$F,"&lt;&gt;", Daily!$G:$G, "=6")+SUMIFS(Daily!$R:$R, Daily!$AA:$AA, "*박병대*", Daily!$I:$I, "외주수리완료",Daily!$F:$F,"&lt;&gt;", Daily!$G:$G, "=6")</f>
        <v>18</v>
      </c>
      <c r="F10" s="83">
        <f>SUMIFS(Daily!$Y:$Y, Daily!$AA:$AA, "*박병대*", Daily!$I:$I, "*수리완료",Daily!$F:$F,"&lt;&gt;", Daily!$G:$G, "=6")+SUMIFS(Daily!$Y:$Y, Daily!$AA:$AA, "*박병대*", Daily!$I:$I, "폐기",Daily!$F:$F,"&lt;&gt;", Daily!$G:$G, "=6")+SUMIFS(Daily!$Y:$Y, Daily!$AA:$AA, "*박병대*", Daily!$I:$I, "수리불가",Daily!$F:$F,"&lt;&gt;", Daily!$G:$G, "=6")</f>
        <v>59</v>
      </c>
      <c r="G10" s="83"/>
      <c r="H10" s="84"/>
      <c r="I10" s="83">
        <f>SUMIFS(Daily!$R:$R, Daily!$AA:$AA, "*박병대*", Daily!$I:$I, "Other", Daily!$F:$F,"&lt;&gt;", Daily!$G:$G, "=6")</f>
        <v>0</v>
      </c>
      <c r="J10" s="83">
        <f>SUMIFS(Daily!$Y:$Y, Daily!$AA:$AA, "*박병대*", Daily!$I:$I, "Other",Daily!$F:$F,"&lt;&gt;", Daily!$G:$G, "=6")</f>
        <v>0</v>
      </c>
      <c r="K10" s="83">
        <f t="shared" si="0"/>
        <v>18</v>
      </c>
      <c r="L10" s="84">
        <f t="shared" si="0"/>
        <v>59</v>
      </c>
    </row>
    <row r="11" spans="2:12" ht="21" customHeight="1">
      <c r="B11" s="82" t="s">
        <v>48</v>
      </c>
      <c r="C11" s="83"/>
      <c r="D11" s="84"/>
      <c r="E11" s="83">
        <f>SUMIFS(Daily!$R:$R, Daily!$AA:$AA, "*박병대*", Daily!$I:$I, "수리완료",Daily!$F:$F,"&lt;&gt;", Daily!$G:$G, "=7")+SUMIFS(Daily!$R:$R, Daily!$AA:$AA, "*박병대*", Daily!$I:$I, "외주수리완료",Daily!$F:$F,"&lt;&gt;", Daily!$G:$G, "=7")</f>
        <v>23</v>
      </c>
      <c r="F11" s="83">
        <f>SUMIFS(Daily!$Y:$Y, Daily!$AA:$AA, "*박병대*", Daily!$I:$I, "*수리완료",Daily!$F:$F,"&lt;&gt;", Daily!$G:$G, "=7")+SUMIFS(Daily!$Y:$Y, Daily!$AA:$AA, "*박병대*", Daily!$I:$I, "폐기",Daily!$F:$F,"&lt;&gt;", Daily!$G:$G, "=7")+SUMIFS(Daily!$Y:$Y, Daily!$AA:$AA, "*박병대*", Daily!$I:$I, "수리불가",Daily!$F:$F,"&lt;&gt;", Daily!$G:$G, "=7")</f>
        <v>70</v>
      </c>
      <c r="G11" s="83"/>
      <c r="H11" s="84"/>
      <c r="I11" s="83">
        <f>SUMIFS(Daily!$R:$R, Daily!$AA:$AA, "*박병대*", Daily!$I:$I, "Other", Daily!$F:$F,"&lt;&gt;", Daily!$G:$G, "=7")</f>
        <v>0</v>
      </c>
      <c r="J11" s="83">
        <f>SUMIFS(Daily!$Y:$Y, Daily!$AA:$AA, "*박병대*", Daily!$I:$I, "Other",Daily!$F:$F,"&lt;&gt;", Daily!$G:$G, "=7")</f>
        <v>0</v>
      </c>
      <c r="K11" s="83">
        <f t="shared" si="0"/>
        <v>23</v>
      </c>
      <c r="L11" s="84">
        <f t="shared" si="0"/>
        <v>70</v>
      </c>
    </row>
    <row r="12" spans="2:12" ht="21" customHeight="1">
      <c r="B12" s="82" t="s">
        <v>50</v>
      </c>
      <c r="C12" s="83"/>
      <c r="D12" s="84"/>
      <c r="E12" s="83">
        <f>SUMIFS(Daily!$R:$R, Daily!$AA:$AA, "*박병대*", Daily!$I:$I, "수리완료",Daily!$F:$F,"&lt;&gt;", Daily!$G:$G, "=8")+SUMIFS(Daily!$R:$R, Daily!$AA:$AA, "*박병대*", Daily!$I:$I, "외주수리완료",Daily!$F:$F,"&lt;&gt;", Daily!$G:$G, "=8")</f>
        <v>16</v>
      </c>
      <c r="F12" s="83">
        <f>SUMIFS(Daily!$Y:$Y, Daily!$AA:$AA, "*박병대*", Daily!$I:$I, "*수리완료",Daily!$F:$F,"&lt;&gt;", Daily!$G:$G, "=8")+SUMIFS(Daily!$Y:$Y, Daily!$AA:$AA, "*박병대*", Daily!$I:$I, "폐기",Daily!$F:$F,"&lt;&gt;", Daily!$G:$G, "=8")+SUMIFS(Daily!$Y:$Y, Daily!$AA:$AA, "*박병대*", Daily!$I:$I, "수리불가",Daily!$F:$F,"&lt;&gt;", Daily!$G:$G, "=8")</f>
        <v>50</v>
      </c>
      <c r="G12" s="83"/>
      <c r="H12" s="84"/>
      <c r="I12" s="83">
        <f>SUMIFS(Daily!$R:$R, Daily!$AA:$AA, "*박병대*", Daily!$I:$I, "Other", Daily!$F:$F,"&lt;&gt;", Daily!$G:$G, "=8")</f>
        <v>0</v>
      </c>
      <c r="J12" s="83">
        <f>SUMIFS(Daily!$Y:$Y, Daily!$AA:$AA, "*박병대*", Daily!$I:$I, "Other",Daily!$F:$F,"&lt;&gt;", Daily!$G:$G, "=8")</f>
        <v>0</v>
      </c>
      <c r="K12" s="83">
        <f t="shared" si="0"/>
        <v>16</v>
      </c>
      <c r="L12" s="84">
        <f t="shared" si="0"/>
        <v>50</v>
      </c>
    </row>
    <row r="13" spans="2:12" ht="21" customHeight="1">
      <c r="B13" s="82" t="s">
        <v>20</v>
      </c>
      <c r="C13" s="83"/>
      <c r="D13" s="84"/>
      <c r="E13" s="83">
        <f>SUMIFS(Daily!$R:$R, Daily!$AA:$AA, "*박병대*", Daily!$I:$I, "수리완료",Daily!$F:$F,"&lt;&gt;", Daily!$G:$G, "=9")+SUMIFS(Daily!$R:$R, Daily!$AA:$AA, "*박병대*", Daily!$I:$I, "외주수리완료",Daily!$F:$F,"&lt;&gt;", Daily!$G:$G, "=9")</f>
        <v>2</v>
      </c>
      <c r="F13" s="83">
        <f>SUMIFS(Daily!$Y:$Y, Daily!$AA:$AA, "*박병대*", Daily!$I:$I, "*수리완료",Daily!$F:$F,"&lt;&gt;", Daily!$G:$G, "=9")+SUMIFS(Daily!$Y:$Y, Daily!$AA:$AA, "*박병대*", Daily!$I:$I, "폐기",Daily!$F:$F,"&lt;&gt;", Daily!$G:$G, "=9")+SUMIFS(Daily!$Y:$Y, Daily!$AA:$AA, "*박병대*", Daily!$I:$I, "수리불가",Daily!$F:$F,"&lt;&gt;", Daily!$G:$G, "=9")</f>
        <v>8</v>
      </c>
      <c r="G13" s="83"/>
      <c r="H13" s="84"/>
      <c r="I13" s="83">
        <f>SUMIFS(Daily!$R:$R, Daily!$AA:$AA, "*박병대*", Daily!$I:$I, "Other", Daily!$F:$F,"&lt;&gt;", Daily!$G:$G, "=9")</f>
        <v>3</v>
      </c>
      <c r="J13" s="83">
        <f>SUMIFS(Daily!$Y:$Y, Daily!$AA:$AA, "*박병대*", Daily!$I:$I, "Other",Daily!$F:$F,"&lt;&gt;", Daily!$G:$G, "=9")</f>
        <v>24</v>
      </c>
      <c r="K13" s="83">
        <f t="shared" si="0"/>
        <v>5</v>
      </c>
      <c r="L13" s="84">
        <f t="shared" si="0"/>
        <v>32</v>
      </c>
    </row>
    <row r="14" spans="2:12" ht="21" customHeight="1">
      <c r="B14" s="82" t="s">
        <v>98</v>
      </c>
      <c r="C14" s="83"/>
      <c r="D14" s="84"/>
      <c r="E14" s="83">
        <f>SUMIFS(Daily!$R:$R, Daily!$AA:$AA, "*박병대*", Daily!$I:$I, "수리완료",Daily!$F:$F,"&lt;&gt;", Daily!$G:$G, "=10")+SUMIFS(Daily!$R:$R, Daily!$AA:$AA, "*박병대*", Daily!$I:$I, "외주수리완료",Daily!$F:$F,"&lt;&gt;", Daily!$G:$G, "=10")</f>
        <v>0</v>
      </c>
      <c r="F14" s="83">
        <f>SUMIFS(Daily!$Y:$Y, Daily!$AA:$AA, "*박병대*", Daily!$I:$I, "*수리완료",Daily!$F:$F,"&lt;&gt;", Daily!$G:$G, "=10")+SUMIFS(Daily!$Y:$Y, Daily!$AA:$AA, "*박병대*", Daily!$I:$I, "폐기",Daily!$F:$F,"&lt;&gt;", Daily!$G:$G, "=10")+SUMIFS(Daily!$Y:$Y, Daily!$AA:$AA, "*박병대*", Daily!$I:$I, "수리불가",Daily!$F:$F,"&lt;&gt;", Daily!$G:$G, "=10")</f>
        <v>0</v>
      </c>
      <c r="G14" s="83"/>
      <c r="H14" s="84"/>
      <c r="I14" s="83">
        <f>SUMIFS(Daily!$R:$R, Daily!$AA:$AA, "*박병대*", Daily!$I:$I, "Other", Daily!$F:$F,"&lt;&gt;", Daily!$G:$G, "=10")</f>
        <v>0</v>
      </c>
      <c r="J14" s="83">
        <f>SUMIFS(Daily!$Y:$Y, Daily!$AA:$AA, "*박병대*", Daily!$I:$I, "Other",Daily!$F:$F,"&lt;&gt;", Daily!$G:$G, "=10")</f>
        <v>0</v>
      </c>
      <c r="K14" s="83">
        <f t="shared" si="0"/>
        <v>0</v>
      </c>
      <c r="L14" s="84">
        <f t="shared" si="0"/>
        <v>0</v>
      </c>
    </row>
    <row r="15" spans="2:12" ht="21" customHeight="1">
      <c r="B15" s="82" t="s">
        <v>25</v>
      </c>
      <c r="C15" s="83"/>
      <c r="D15" s="84"/>
      <c r="E15" s="83">
        <f>SUMIFS(Daily!$R:$R, Daily!$AA:$AA, "*박병대*", Daily!$I:$I, "수리완료",Daily!$F:$F,"&lt;&gt;", Daily!$G:$G, "=11")+SUMIFS(Daily!$R:$R, Daily!$AA:$AA, "*박병대*", Daily!$I:$I, "외주수리완료",Daily!$F:$F,"&lt;&gt;", Daily!$G:$G, "=11")</f>
        <v>0</v>
      </c>
      <c r="F15" s="83">
        <f>SUMIFS(Daily!$Y:$Y, Daily!$AA:$AA, "*박병대*", Daily!$I:$I, "*수리완료",Daily!$F:$F,"&lt;&gt;", Daily!$G:$G, "=11")+SUMIFS(Daily!$Y:$Y, Daily!$AA:$AA, "*박병대*", Daily!$I:$I, "폐기",Daily!$F:$F,"&lt;&gt;", Daily!$G:$G, "=11")+SUMIFS(Daily!$Y:$Y, Daily!$AA:$AA, "*박병대*", Daily!$I:$I, "수리불가",Daily!$F:$F,"&lt;&gt;", Daily!$G:$G, "=11")</f>
        <v>0</v>
      </c>
      <c r="G15" s="83"/>
      <c r="H15" s="84"/>
      <c r="I15" s="83">
        <f>SUMIFS(Daily!$R:$R, Daily!$AA:$AA, "*박병대*", Daily!$I:$I, "Other", Daily!$F:$F,"&lt;&gt;", Daily!$G:$G, "=11")</f>
        <v>0</v>
      </c>
      <c r="J15" s="83">
        <f>SUMIFS(Daily!$Y:$Y, Daily!$AA:$AA, "*박병대*", Daily!$I:$I, "Other",Daily!$F:$F,"&lt;&gt;", Daily!$G:$G, "=11")</f>
        <v>0</v>
      </c>
      <c r="K15" s="83">
        <f t="shared" si="0"/>
        <v>0</v>
      </c>
      <c r="L15" s="84">
        <f t="shared" si="0"/>
        <v>0</v>
      </c>
    </row>
    <row r="16" spans="2:12" ht="21" customHeight="1">
      <c r="B16" s="82" t="s">
        <v>26</v>
      </c>
      <c r="C16" s="83"/>
      <c r="D16" s="84"/>
      <c r="E16" s="83">
        <f>SUMIFS(Daily!$R:$R, Daily!$AA:$AA, "*박병대*", Daily!$I:$I, "수리완료",Daily!$F:$F,"&lt;&gt;", Daily!$G:$G, "=12")+SUMIFS(Daily!$R:$R, Daily!$AA:$AA, "*박병대*", Daily!$I:$I, "외주수리완료",Daily!$F:$F,"&lt;&gt;", Daily!$G:$G, "=12")</f>
        <v>0</v>
      </c>
      <c r="F16" s="83">
        <f>SUMIFS(Daily!$Y:$Y, Daily!$AA:$AA, "*박병대*", Daily!$I:$I, "*수리완료",Daily!$F:$F,"&lt;&gt;", Daily!$G:$G, "=12")+SUMIFS(Daily!$Y:$Y, Daily!$AA:$AA, "*박병대*", Daily!$I:$I, "폐기",Daily!$F:$F,"&lt;&gt;", Daily!$G:$G, "=12")+SUMIFS(Daily!$Y:$Y, Daily!$AA:$AA, "*박병대*", Daily!$I:$I, "수리불가",Daily!$F:$F,"&lt;&gt;", Daily!$G:$G, "=12")</f>
        <v>0</v>
      </c>
      <c r="G16" s="83"/>
      <c r="H16" s="84"/>
      <c r="I16" s="83">
        <f>SUMIFS(Daily!$R:$R, Daily!$AA:$AA, "*박병대*", Daily!$I:$I, "Other", Daily!$F:$F,"&lt;&gt;", Daily!$G:$G, "=12")</f>
        <v>0</v>
      </c>
      <c r="J16" s="83">
        <f>SUMIFS(Daily!$Y:$Y, Daily!$AA:$AA, "*박병대*", Daily!$I:$I, "Other",Daily!$F:$F,"&lt;&gt;", Daily!$G:$G, "=12")</f>
        <v>0</v>
      </c>
      <c r="K16" s="83">
        <f t="shared" si="0"/>
        <v>0</v>
      </c>
      <c r="L16" s="84">
        <f t="shared" si="0"/>
        <v>0</v>
      </c>
    </row>
    <row r="17" spans="2:12" ht="21" customHeight="1">
      <c r="B17" s="81" t="s">
        <v>95</v>
      </c>
      <c r="C17" s="85">
        <f t="shared" ref="C17:L17" si="1">SUM(C5:C16)</f>
        <v>0</v>
      </c>
      <c r="D17" s="81">
        <f t="shared" si="1"/>
        <v>0</v>
      </c>
      <c r="E17" s="85">
        <f t="shared" si="1"/>
        <v>190</v>
      </c>
      <c r="F17" s="86">
        <f t="shared" si="1"/>
        <v>674</v>
      </c>
      <c r="G17" s="85">
        <f t="shared" si="1"/>
        <v>0</v>
      </c>
      <c r="H17" s="86">
        <f t="shared" si="1"/>
        <v>0</v>
      </c>
      <c r="I17" s="85">
        <f t="shared" si="1"/>
        <v>3</v>
      </c>
      <c r="J17" s="86">
        <f t="shared" si="1"/>
        <v>24</v>
      </c>
      <c r="K17" s="85">
        <f t="shared" si="1"/>
        <v>193</v>
      </c>
      <c r="L17" s="86">
        <f t="shared" si="1"/>
        <v>698</v>
      </c>
    </row>
  </sheetData>
  <mergeCells count="7">
    <mergeCell ref="B2:B4"/>
    <mergeCell ref="C2:J2"/>
    <mergeCell ref="K2:L3"/>
    <mergeCell ref="C3:D3"/>
    <mergeCell ref="E3:F3"/>
    <mergeCell ref="G3:H3"/>
    <mergeCell ref="I3:J3"/>
  </mergeCells>
  <phoneticPr fontId="3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B1:L17"/>
  <sheetViews>
    <sheetView showGridLines="0" workbookViewId="0">
      <selection activeCell="E3" sqref="E3:F3"/>
    </sheetView>
  </sheetViews>
  <sheetFormatPr defaultRowHeight="16.5"/>
  <cols>
    <col min="1" max="1" width="2.75" customWidth="1"/>
    <col min="2" max="2" width="11.875" style="15" customWidth="1"/>
    <col min="3" max="6" width="12.375" style="15" customWidth="1"/>
    <col min="7" max="12" width="12.375" customWidth="1"/>
  </cols>
  <sheetData>
    <row r="1" spans="2:12" ht="26.25">
      <c r="B1" s="79" t="s">
        <v>92</v>
      </c>
      <c r="C1" s="80"/>
      <c r="D1" s="80"/>
      <c r="E1" s="80"/>
      <c r="F1" s="80"/>
      <c r="G1" s="30"/>
      <c r="H1" s="30"/>
      <c r="I1" s="30"/>
      <c r="J1" s="30"/>
      <c r="K1" s="30"/>
      <c r="L1" s="30"/>
    </row>
    <row r="2" spans="2:12" ht="21" customHeight="1">
      <c r="B2" s="242" t="s">
        <v>93</v>
      </c>
      <c r="C2" s="245" t="s">
        <v>94</v>
      </c>
      <c r="D2" s="246"/>
      <c r="E2" s="246"/>
      <c r="F2" s="246"/>
      <c r="G2" s="246"/>
      <c r="H2" s="246"/>
      <c r="I2" s="246"/>
      <c r="J2" s="247"/>
      <c r="K2" s="248" t="s">
        <v>95</v>
      </c>
      <c r="L2" s="249"/>
    </row>
    <row r="3" spans="2:12" ht="21" customHeight="1">
      <c r="B3" s="243"/>
      <c r="C3" s="245" t="s">
        <v>96</v>
      </c>
      <c r="D3" s="247"/>
      <c r="E3" s="245" t="s">
        <v>91</v>
      </c>
      <c r="F3" s="247"/>
      <c r="G3" s="245" t="s">
        <v>97</v>
      </c>
      <c r="H3" s="247"/>
      <c r="I3" s="245" t="s">
        <v>31</v>
      </c>
      <c r="J3" s="247"/>
      <c r="K3" s="250"/>
      <c r="L3" s="251"/>
    </row>
    <row r="4" spans="2:12" ht="21" customHeight="1">
      <c r="B4" s="244"/>
      <c r="C4" s="81" t="s">
        <v>87</v>
      </c>
      <c r="D4" s="81" t="s">
        <v>88</v>
      </c>
      <c r="E4" s="81" t="s">
        <v>87</v>
      </c>
      <c r="F4" s="81" t="s">
        <v>88</v>
      </c>
      <c r="G4" s="81" t="s">
        <v>87</v>
      </c>
      <c r="H4" s="81" t="s">
        <v>88</v>
      </c>
      <c r="I4" s="81" t="s">
        <v>87</v>
      </c>
      <c r="J4" s="81" t="s">
        <v>88</v>
      </c>
      <c r="K4" s="81" t="s">
        <v>87</v>
      </c>
      <c r="L4" s="81" t="s">
        <v>88</v>
      </c>
    </row>
    <row r="5" spans="2:12" ht="21" customHeight="1">
      <c r="B5" s="82" t="s">
        <v>21</v>
      </c>
      <c r="C5" s="83"/>
      <c r="D5" s="84"/>
      <c r="E5" s="83">
        <f>SUMIFS(Daily!$R:$R, Daily!$AA:$AA, "*최준영*", Daily!$I:$I, "*수리완료",Daily!$F:$F,"&lt;&gt;", Daily!$G:$G, "=1")</f>
        <v>16</v>
      </c>
      <c r="F5" s="83">
        <f>SUMIFS(Daily!$Y:$Y, Daily!$AA:$AA, "*최준영*", Daily!$I:$I, "*수리완료",Daily!$F:$F,"&lt;&gt;", Daily!$G:$G, "=1")+SUMIFS(Daily!$Y:$Y, Daily!$AA:$AA, "*최준영*", Daily!$I:$I, "폐기",Daily!$F:$F,"&lt;&gt;", Daily!$G:$G, "=1")+SUMIFS(Daily!$Y:$Y, Daily!$AA:$AA, "*최준영*", Daily!$I:$I, "수리불가",Daily!$F:$F,"&lt;&gt;", Daily!$G:$G, "=1")</f>
        <v>99</v>
      </c>
      <c r="G5" s="83"/>
      <c r="H5" s="84"/>
      <c r="I5" s="83">
        <f>SUMIFS(Daily!$R:$R, Daily!$AA:$AA, "*최준영*", Daily!$I:$I, "Other", Daily!$F:$F,"&lt;&gt;", Daily!$G:$G, "=1")</f>
        <v>0</v>
      </c>
      <c r="J5" s="83">
        <f>SUMIFS(Daily!$Y:$Y, Daily!$AA:$AA, "*최준영*", Daily!$I:$I, "Other",Daily!$F:$F,"&lt;&gt;", Daily!$G:$G, "=1")</f>
        <v>0</v>
      </c>
      <c r="K5" s="83">
        <f>C5+E5+G5+I5</f>
        <v>16</v>
      </c>
      <c r="L5" s="84">
        <f>D5+F5+H5+J5</f>
        <v>99</v>
      </c>
    </row>
    <row r="6" spans="2:12" ht="21" customHeight="1">
      <c r="B6" s="82" t="s">
        <v>36</v>
      </c>
      <c r="C6" s="83"/>
      <c r="D6" s="84"/>
      <c r="E6" s="83">
        <f>SUMIFS(Daily!$R:$R, Daily!$AA:$AA, "*최준영*", Daily!$I:$I, "*수리완료",Daily!$F:$F,"&lt;&gt;", Daily!$G:$G, "=2")</f>
        <v>21</v>
      </c>
      <c r="F6" s="83">
        <f>SUMIFS(Daily!$Y:$Y, Daily!$AA:$AA, "*최준영*", Daily!$I:$I, "*수리완료",Daily!$F:$F,"&lt;&gt;", Daily!$G:$G, "=2")+SUMIFS(Daily!$Y:$Y, Daily!$AA:$AA, "*최준영*", Daily!$I:$I, "폐기",Daily!$F:$F,"&lt;&gt;", Daily!$G:$G, "=2")+SUMIFS(Daily!$Y:$Y, Daily!$AA:$AA, "*최준영*", Daily!$I:$I, "수리불가",Daily!$F:$F,"&lt;&gt;", Daily!$G:$G, "=2")</f>
        <v>96</v>
      </c>
      <c r="G6" s="83"/>
      <c r="H6" s="84"/>
      <c r="I6" s="83">
        <f>SUMIFS(Daily!$R:$R, Daily!$AA:$AA, "*최준영*", Daily!$I:$I, "Other", Daily!$F:$F,"&lt;&gt;", Daily!$G:$G, "=2")</f>
        <v>0</v>
      </c>
      <c r="J6" s="83">
        <f>SUMIFS(Daily!$Y:$Y, Daily!$AA:$AA, "*최준영*", Daily!$I:$I, "Other",Daily!$F:$F,"&lt;&gt;", Daily!$G:$G, "=2")</f>
        <v>0</v>
      </c>
      <c r="K6" s="83">
        <f t="shared" ref="K6:L16" si="0">C6+E6+G6+I6</f>
        <v>21</v>
      </c>
      <c r="L6" s="84">
        <f t="shared" si="0"/>
        <v>96</v>
      </c>
    </row>
    <row r="7" spans="2:12" ht="21" customHeight="1">
      <c r="B7" s="82" t="s">
        <v>19</v>
      </c>
      <c r="C7" s="83"/>
      <c r="D7" s="84"/>
      <c r="E7" s="83">
        <f>SUMIFS(Daily!$R:$R, Daily!$AA:$AA, "*최준영*", Daily!$I:$I, "*수리완료",Daily!$F:$F,"&lt;&gt;", Daily!$G:$G, "=3")</f>
        <v>15</v>
      </c>
      <c r="F7" s="83">
        <f>SUMIFS(Daily!$Y:$Y, Daily!$AA:$AA, "*최준영*", Daily!$I:$I, "*수리완료",Daily!$F:$F,"&lt;&gt;", Daily!$G:$G, "=3")+SUMIFS(Daily!$Y:$Y, Daily!$AA:$AA, "*최준영*", Daily!$I:$I, "폐기",Daily!$F:$F,"&lt;&gt;", Daily!$G:$G, "=3")+SUMIFS(Daily!$Y:$Y, Daily!$AA:$AA, "*최준영*", Daily!$I:$I, "수리불가",Daily!$F:$F,"&lt;&gt;", Daily!$G:$G, "=3")</f>
        <v>53</v>
      </c>
      <c r="G7" s="83"/>
      <c r="H7" s="84"/>
      <c r="I7" s="83">
        <f>SUMIFS(Daily!$R:$R, Daily!$AA:$AA, "*최준영*", Daily!$I:$I, "Other", Daily!$F:$F,"&lt;&gt;", Daily!$G:$G, "=3")</f>
        <v>0</v>
      </c>
      <c r="J7" s="83">
        <f>SUMIFS(Daily!$Y:$Y, Daily!$AA:$AA, "*최준영*", Daily!$I:$I, "Other",Daily!$F:$F,"&lt;&gt;", Daily!$G:$G, "=3")</f>
        <v>0</v>
      </c>
      <c r="K7" s="83">
        <f t="shared" si="0"/>
        <v>15</v>
      </c>
      <c r="L7" s="84">
        <f t="shared" si="0"/>
        <v>53</v>
      </c>
    </row>
    <row r="8" spans="2:12" ht="21" customHeight="1">
      <c r="B8" s="82" t="s">
        <v>37</v>
      </c>
      <c r="C8" s="83"/>
      <c r="D8" s="84"/>
      <c r="E8" s="83">
        <f>SUMIFS(Daily!$R:$R, Daily!$AA:$AA, "*최준영*", Daily!$I:$I, "*수리완료",Daily!$F:$F,"&lt;&gt;", Daily!$G:$G, "=4")</f>
        <v>18</v>
      </c>
      <c r="F8" s="83">
        <f>SUMIFS(Daily!$Y:$Y, Daily!$AA:$AA, "*최준영*", Daily!$I:$I, "*수리완료",Daily!$F:$F,"&lt;&gt;", Daily!$G:$G, "=4")+SUMIFS(Daily!$Y:$Y, Daily!$AA:$AA, "*최준영*", Daily!$I:$I, "폐기",Daily!$F:$F,"&lt;&gt;", Daily!$G:$G, "=4")+SUMIFS(Daily!$Y:$Y, Daily!$AA:$AA, "*최준영*", Daily!$I:$I, "수리불가",Daily!$F:$F,"&lt;&gt;", Daily!$G:$G, "=4")</f>
        <v>73</v>
      </c>
      <c r="G8" s="83"/>
      <c r="H8" s="84"/>
      <c r="I8" s="83">
        <f>SUMIFS(Daily!$R:$R, Daily!$AA:$AA, "*최준영*", Daily!$I:$I, "Other", Daily!$F:$F,"&lt;&gt;", Daily!$G:$G, "=4")</f>
        <v>0</v>
      </c>
      <c r="J8" s="83">
        <f>SUMIFS(Daily!$Y:$Y, Daily!$AA:$AA, "*최준영*", Daily!$I:$I, "Other",Daily!$F:$F,"&lt;&gt;", Daily!$G:$G, "=4")</f>
        <v>0</v>
      </c>
      <c r="K8" s="83">
        <f t="shared" si="0"/>
        <v>18</v>
      </c>
      <c r="L8" s="84">
        <f t="shared" si="0"/>
        <v>73</v>
      </c>
    </row>
    <row r="9" spans="2:12" ht="21" customHeight="1">
      <c r="B9" s="82" t="s">
        <v>46</v>
      </c>
      <c r="C9" s="83"/>
      <c r="D9" s="84"/>
      <c r="E9" s="83">
        <f>SUMIFS(Daily!$R:$R, Daily!$AA:$AA, "*최준영*", Daily!$I:$I, "*수리완료",Daily!$F:$F,"&lt;&gt;", Daily!$G:$G, "=5")</f>
        <v>21</v>
      </c>
      <c r="F9" s="83">
        <f>SUMIFS(Daily!$Y:$Y, Daily!$AA:$AA, "*최준영*", Daily!$I:$I, "*수리완료",Daily!$F:$F,"&lt;&gt;", Daily!$G:$G, "=5")+SUMIFS(Daily!$Y:$Y, Daily!$AA:$AA, "*최준영*", Daily!$I:$I, "폐기",Daily!$F:$F,"&lt;&gt;", Daily!$G:$G, "=5")+SUMIFS(Daily!$Y:$Y, Daily!$AA:$AA, "*최준영*", Daily!$I:$I, "수리불가",Daily!$F:$F,"&lt;&gt;", Daily!$G:$G, "=5")</f>
        <v>74</v>
      </c>
      <c r="G9" s="83"/>
      <c r="H9" s="84"/>
      <c r="I9" s="83">
        <f>SUMIFS(Daily!$R:$R, Daily!$AA:$AA, "*최준영*", Daily!$I:$I, "Other", Daily!$F:$F,"&lt;&gt;", Daily!$G:$G, "=5")</f>
        <v>0</v>
      </c>
      <c r="J9" s="83">
        <f>SUMIFS(Daily!$Y:$Y, Daily!$AA:$AA, "*최준영*", Daily!$I:$I, "Other",Daily!$F:$F,"&lt;&gt;", Daily!$G:$G, "=5")</f>
        <v>0</v>
      </c>
      <c r="K9" s="83">
        <f t="shared" si="0"/>
        <v>21</v>
      </c>
      <c r="L9" s="84">
        <f t="shared" si="0"/>
        <v>74</v>
      </c>
    </row>
    <row r="10" spans="2:12" ht="21" customHeight="1">
      <c r="B10" s="82" t="s">
        <v>45</v>
      </c>
      <c r="C10" s="83"/>
      <c r="D10" s="84"/>
      <c r="E10" s="83">
        <f>SUMIFS(Daily!$R:$R, Daily!$AA:$AA, "*최준영*", Daily!$I:$I, "*수리완료",Daily!$F:$F,"&lt;&gt;", Daily!$G:$G, "=6")</f>
        <v>27</v>
      </c>
      <c r="F10" s="83">
        <f>SUMIFS(Daily!$Y:$Y, Daily!$AA:$AA, "*최준영*", Daily!$I:$I, "*수리완료",Daily!$F:$F,"&lt;&gt;", Daily!$G:$G, "=6")+SUMIFS(Daily!$Y:$Y, Daily!$AA:$AA, "*최준영*", Daily!$I:$I, "폐기",Daily!$F:$F,"&lt;&gt;", Daily!$G:$G, "=6")+SUMIFS(Daily!$Y:$Y, Daily!$AA:$AA, "*최준영*", Daily!$I:$I, "수리불가",Daily!$F:$F,"&lt;&gt;", Daily!$G:$G, "=6")</f>
        <v>101</v>
      </c>
      <c r="G10" s="83"/>
      <c r="H10" s="84"/>
      <c r="I10" s="83">
        <f>SUMIFS(Daily!$R:$R, Daily!$AA:$AA, "*최준영*", Daily!$I:$I, "Other", Daily!$F:$F,"&lt;&gt;", Daily!$G:$G, "=6")</f>
        <v>0</v>
      </c>
      <c r="J10" s="83">
        <f>SUMIFS(Daily!$Y:$Y, Daily!$AA:$AA, "*최준영*", Daily!$I:$I, "Other",Daily!$F:$F,"&lt;&gt;", Daily!$G:$G, "=6")</f>
        <v>0</v>
      </c>
      <c r="K10" s="83">
        <f t="shared" si="0"/>
        <v>27</v>
      </c>
      <c r="L10" s="84">
        <f t="shared" si="0"/>
        <v>101</v>
      </c>
    </row>
    <row r="11" spans="2:12" ht="21" customHeight="1">
      <c r="B11" s="82" t="s">
        <v>48</v>
      </c>
      <c r="C11" s="83"/>
      <c r="D11" s="84"/>
      <c r="E11" s="83">
        <f>SUMIFS(Daily!$R:$R, Daily!$AA:$AA, "*최준영*", Daily!$I:$I, "*수리완료",Daily!$F:$F,"&lt;&gt;", Daily!$G:$G, "=7")</f>
        <v>45</v>
      </c>
      <c r="F11" s="83">
        <f>SUMIFS(Daily!$Y:$Y, Daily!$AA:$AA, "*최준영*", Daily!$I:$I, "*수리완료",Daily!$F:$F,"&lt;&gt;", Daily!$G:$G, "=7")+SUMIFS(Daily!$Y:$Y, Daily!$AA:$AA, "*최준영*", Daily!$I:$I, "폐기",Daily!$F:$F,"&lt;&gt;", Daily!$G:$G, "=7")+SUMIFS(Daily!$Y:$Y, Daily!$AA:$AA, "*최준영*", Daily!$I:$I, "수리불가",Daily!$F:$F,"&lt;&gt;", Daily!$G:$G, "=7")</f>
        <v>127</v>
      </c>
      <c r="G11" s="83"/>
      <c r="H11" s="84"/>
      <c r="I11" s="83">
        <f>SUMIFS(Daily!$R:$R, Daily!$AA:$AA, "*최준영*", Daily!$I:$I, "Other", Daily!$F:$F,"&lt;&gt;", Daily!$G:$G, "=7")</f>
        <v>0</v>
      </c>
      <c r="J11" s="83">
        <f>SUMIFS(Daily!$Y:$Y, Daily!$AA:$AA, "*최준영*", Daily!$I:$I, "Other",Daily!$F:$F,"&lt;&gt;", Daily!$G:$G, "=7")</f>
        <v>0</v>
      </c>
      <c r="K11" s="83">
        <f t="shared" si="0"/>
        <v>45</v>
      </c>
      <c r="L11" s="84">
        <f t="shared" si="0"/>
        <v>127</v>
      </c>
    </row>
    <row r="12" spans="2:12" ht="21" customHeight="1">
      <c r="B12" s="82" t="s">
        <v>50</v>
      </c>
      <c r="C12" s="83"/>
      <c r="D12" s="84"/>
      <c r="E12" s="83">
        <f>SUMIFS(Daily!$R:$R, Daily!$AA:$AA, "*최준영*", Daily!$I:$I, "*수리완료",Daily!$F:$F,"&lt;&gt;", Daily!$G:$G, "=8")</f>
        <v>25</v>
      </c>
      <c r="F12" s="83">
        <f>SUMIFS(Daily!$Y:$Y, Daily!$AA:$AA, "*최준영*", Daily!$I:$I, "*수리완료",Daily!$F:$F,"&lt;&gt;", Daily!$G:$G, "=8")+SUMIFS(Daily!$Y:$Y, Daily!$AA:$AA, "*최준영*", Daily!$I:$I, "폐기",Daily!$F:$F,"&lt;&gt;", Daily!$G:$G, "=8")+SUMIFS(Daily!$Y:$Y, Daily!$AA:$AA, "*최준영*", Daily!$I:$I, "수리불가",Daily!$F:$F,"&lt;&gt;", Daily!$G:$G, "=8")</f>
        <v>74</v>
      </c>
      <c r="G12" s="83"/>
      <c r="H12" s="84"/>
      <c r="I12" s="83">
        <f>SUMIFS(Daily!$R:$R, Daily!$AA:$AA, "*최준영*", Daily!$I:$I, "Other", Daily!$F:$F,"&lt;&gt;", Daily!$G:$G, "=8")</f>
        <v>0</v>
      </c>
      <c r="J12" s="83">
        <f>SUMIFS(Daily!$Y:$Y, Daily!$AA:$AA, "*최준영*", Daily!$I:$I, "Other",Daily!$F:$F,"&lt;&gt;", Daily!$G:$G, "=8")</f>
        <v>0</v>
      </c>
      <c r="K12" s="83">
        <f t="shared" si="0"/>
        <v>25</v>
      </c>
      <c r="L12" s="84">
        <f t="shared" si="0"/>
        <v>74</v>
      </c>
    </row>
    <row r="13" spans="2:12" ht="21" customHeight="1">
      <c r="B13" s="82" t="s">
        <v>20</v>
      </c>
      <c r="C13" s="83"/>
      <c r="D13" s="84"/>
      <c r="E13" s="83">
        <f>SUMIFS(Daily!$R:$R, Daily!$AA:$AA, "*최준영*", Daily!$I:$I, "*수리완료",Daily!$F:$F,"&lt;&gt;", Daily!$G:$G, "=9")</f>
        <v>25</v>
      </c>
      <c r="F13" s="83">
        <f>SUMIFS(Daily!$Y:$Y, Daily!$AA:$AA, "*최준영*", Daily!$I:$I, "*수리완료",Daily!$F:$F,"&lt;&gt;", Daily!$G:$G, "=9")+SUMIFS(Daily!$Y:$Y, Daily!$AA:$AA, "*최준영*", Daily!$I:$I, "폐기",Daily!$F:$F,"&lt;&gt;", Daily!$G:$G, "=9")+SUMIFS(Daily!$Y:$Y, Daily!$AA:$AA, "*최준영*", Daily!$I:$I, "수리불가",Daily!$F:$F,"&lt;&gt;", Daily!$G:$G, "=9")</f>
        <v>102</v>
      </c>
      <c r="G13" s="83"/>
      <c r="H13" s="84"/>
      <c r="I13" s="83">
        <f>SUMIFS(Daily!$R:$R, Daily!$AA:$AA, "*최준영*", Daily!$I:$I, "Other", Daily!$F:$F,"&lt;&gt;", Daily!$G:$G, "=9")</f>
        <v>0</v>
      </c>
      <c r="J13" s="83">
        <f>SUMIFS(Daily!$Y:$Y, Daily!$AA:$AA, "*최준영*", Daily!$I:$I, "Other",Daily!$F:$F,"&lt;&gt;", Daily!$G:$G, "=9")</f>
        <v>0</v>
      </c>
      <c r="K13" s="83">
        <f t="shared" si="0"/>
        <v>25</v>
      </c>
      <c r="L13" s="84">
        <f t="shared" si="0"/>
        <v>102</v>
      </c>
    </row>
    <row r="14" spans="2:12" ht="21" customHeight="1">
      <c r="B14" s="82" t="s">
        <v>98</v>
      </c>
      <c r="C14" s="83"/>
      <c r="D14" s="84"/>
      <c r="E14" s="83">
        <f>SUMIFS(Daily!$R:$R, Daily!$AA:$AA, "*최준영*", Daily!$I:$I, "*수리완료",Daily!$F:$F,"&lt;&gt;", Daily!$G:$G, "=10")</f>
        <v>23</v>
      </c>
      <c r="F14" s="83">
        <f>SUMIFS(Daily!$Y:$Y, Daily!$AA:$AA, "*최준영*", Daily!$I:$I, "*수리완료",Daily!$F:$F,"&lt;&gt;", Daily!$G:$G, "=10")+SUMIFS(Daily!$Y:$Y, Daily!$AA:$AA, "*최준영*", Daily!$I:$I, "폐기",Daily!$F:$F,"&lt;&gt;", Daily!$G:$G, "=10")+SUMIFS(Daily!$Y:$Y, Daily!$AA:$AA, "*최준영*", Daily!$I:$I, "수리불가",Daily!$F:$F,"&lt;&gt;", Daily!$G:$G, "=10")</f>
        <v>89</v>
      </c>
      <c r="G14" s="83"/>
      <c r="H14" s="84"/>
      <c r="I14" s="83">
        <f>SUMIFS(Daily!$R:$R, Daily!$AA:$AA, "*최준영*", Daily!$I:$I, "Other", Daily!$F:$F,"&lt;&gt;", Daily!$G:$G, "=10")</f>
        <v>0</v>
      </c>
      <c r="J14" s="83">
        <f>SUMIFS(Daily!$Y:$Y, Daily!$AA:$AA, "*최준영*", Daily!$I:$I, "Other",Daily!$F:$F,"&lt;&gt;", Daily!$G:$G, "=10")</f>
        <v>0</v>
      </c>
      <c r="K14" s="83">
        <f t="shared" si="0"/>
        <v>23</v>
      </c>
      <c r="L14" s="84">
        <f t="shared" si="0"/>
        <v>89</v>
      </c>
    </row>
    <row r="15" spans="2:12" ht="21" customHeight="1">
      <c r="B15" s="82" t="s">
        <v>25</v>
      </c>
      <c r="C15" s="83"/>
      <c r="D15" s="84"/>
      <c r="E15" s="83">
        <f>SUMIFS(Daily!$R:$R, Daily!$AA:$AA, "*최준영*", Daily!$I:$I, "*수리완료",Daily!$F:$F,"&lt;&gt;", Daily!$G:$G, "=11")</f>
        <v>12</v>
      </c>
      <c r="F15" s="83">
        <f>SUMIFS(Daily!$Y:$Y, Daily!$AA:$AA, "*최준영*", Daily!$I:$I, "*수리완료",Daily!$F:$F,"&lt;&gt;", Daily!$G:$G, "=11")+SUMIFS(Daily!$Y:$Y, Daily!$AA:$AA, "*최준영*", Daily!$I:$I, "폐기",Daily!$F:$F,"&lt;&gt;", Daily!$G:$G, "=11")+SUMIFS(Daily!$Y:$Y, Daily!$AA:$AA, "*최준영*", Daily!$I:$I, "수리불가",Daily!$F:$F,"&lt;&gt;", Daily!$G:$G, "=11")</f>
        <v>53</v>
      </c>
      <c r="G15" s="83"/>
      <c r="H15" s="84"/>
      <c r="I15" s="83">
        <f>SUMIFS(Daily!$R:$R, Daily!$AA:$AA, "*최준영*", Daily!$I:$I, "Other", Daily!$F:$F,"&lt;&gt;", Daily!$G:$G, "=11")</f>
        <v>0</v>
      </c>
      <c r="J15" s="83">
        <f>SUMIFS(Daily!$Y:$Y, Daily!$AA:$AA, "*최준영*", Daily!$I:$I, "Other",Daily!$F:$F,"&lt;&gt;", Daily!$G:$G, "=11")</f>
        <v>0</v>
      </c>
      <c r="K15" s="83">
        <f t="shared" si="0"/>
        <v>12</v>
      </c>
      <c r="L15" s="84">
        <f t="shared" si="0"/>
        <v>53</v>
      </c>
    </row>
    <row r="16" spans="2:12" ht="21" customHeight="1">
      <c r="B16" s="82" t="s">
        <v>26</v>
      </c>
      <c r="C16" s="83"/>
      <c r="D16" s="84"/>
      <c r="E16" s="83">
        <f>SUMIFS(Daily!$R:$R, Daily!$AA:$AA, "*최준영*", Daily!$I:$I, "*수리완료",Daily!$F:$F,"&lt;&gt;", Daily!$G:$G, "=12")</f>
        <v>19</v>
      </c>
      <c r="F16" s="83">
        <f>SUMIFS(Daily!$Y:$Y, Daily!$AA:$AA, "*최준영*", Daily!$I:$I, "*수리완료",Daily!$F:$F,"&lt;&gt;", Daily!$G:$G, "=12")+SUMIFS(Daily!$Y:$Y, Daily!$AA:$AA, "*최준영*", Daily!$I:$I, "폐기",Daily!$F:$F,"&lt;&gt;", Daily!$G:$G, "=12")+SUMIFS(Daily!$Y:$Y, Daily!$AA:$AA, "*최준영*", Daily!$I:$I, "수리불가",Daily!$F:$F,"&lt;&gt;", Daily!$G:$G, "=12")</f>
        <v>74</v>
      </c>
      <c r="G16" s="83"/>
      <c r="H16" s="84"/>
      <c r="I16" s="83">
        <f>SUMIFS(Daily!$R:$R, Daily!$AA:$AA, "*최준영*", Daily!$I:$I, "Other", Daily!$F:$F,"&lt;&gt;", Daily!$G:$G, "=12")</f>
        <v>0</v>
      </c>
      <c r="J16" s="83">
        <f>SUMIFS(Daily!$Y:$Y, Daily!$AA:$AA, "*최준영*", Daily!$I:$I, "Other",Daily!$F:$F,"&lt;&gt;", Daily!$G:$G, "=12")</f>
        <v>0</v>
      </c>
      <c r="K16" s="83">
        <f t="shared" si="0"/>
        <v>19</v>
      </c>
      <c r="L16" s="84">
        <f t="shared" si="0"/>
        <v>74</v>
      </c>
    </row>
    <row r="17" spans="2:12" ht="21" customHeight="1">
      <c r="B17" s="81" t="s">
        <v>95</v>
      </c>
      <c r="C17" s="85">
        <f t="shared" ref="C17:L17" si="1">SUM(C5:C16)</f>
        <v>0</v>
      </c>
      <c r="D17" s="81">
        <f t="shared" si="1"/>
        <v>0</v>
      </c>
      <c r="E17" s="85">
        <f t="shared" si="1"/>
        <v>267</v>
      </c>
      <c r="F17" s="86">
        <f t="shared" si="1"/>
        <v>1015</v>
      </c>
      <c r="G17" s="85">
        <f t="shared" si="1"/>
        <v>0</v>
      </c>
      <c r="H17" s="86">
        <f t="shared" si="1"/>
        <v>0</v>
      </c>
      <c r="I17" s="85">
        <f t="shared" si="1"/>
        <v>0</v>
      </c>
      <c r="J17" s="86">
        <f t="shared" si="1"/>
        <v>0</v>
      </c>
      <c r="K17" s="85">
        <f t="shared" si="1"/>
        <v>267</v>
      </c>
      <c r="L17" s="86">
        <f t="shared" si="1"/>
        <v>1015</v>
      </c>
    </row>
  </sheetData>
  <mergeCells count="7">
    <mergeCell ref="B2:B4"/>
    <mergeCell ref="C2:J2"/>
    <mergeCell ref="K2:L3"/>
    <mergeCell ref="C3:D3"/>
    <mergeCell ref="E3:F3"/>
    <mergeCell ref="G3:H3"/>
    <mergeCell ref="I3:J3"/>
  </mergeCells>
  <phoneticPr fontId="3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L17"/>
  <sheetViews>
    <sheetView showGridLines="0" workbookViewId="0">
      <selection activeCell="J16" sqref="J16"/>
    </sheetView>
  </sheetViews>
  <sheetFormatPr defaultRowHeight="16.5"/>
  <cols>
    <col min="1" max="1" width="2.75" customWidth="1"/>
    <col min="2" max="2" width="11.875" style="15" customWidth="1"/>
    <col min="3" max="6" width="12.375" style="15" customWidth="1"/>
    <col min="7" max="12" width="12.375" customWidth="1"/>
  </cols>
  <sheetData>
    <row r="1" spans="2:12" ht="26.25">
      <c r="B1" s="79" t="s">
        <v>92</v>
      </c>
      <c r="C1" s="80"/>
      <c r="D1" s="80"/>
      <c r="E1" s="80"/>
      <c r="F1" s="80"/>
      <c r="G1" s="30"/>
      <c r="H1" s="30"/>
      <c r="I1" s="30"/>
      <c r="J1" s="30"/>
      <c r="K1" s="30"/>
      <c r="L1" s="30"/>
    </row>
    <row r="2" spans="2:12" ht="21" customHeight="1">
      <c r="B2" s="242" t="s">
        <v>93</v>
      </c>
      <c r="C2" s="245" t="s">
        <v>94</v>
      </c>
      <c r="D2" s="246"/>
      <c r="E2" s="246"/>
      <c r="F2" s="246"/>
      <c r="G2" s="246"/>
      <c r="H2" s="246"/>
      <c r="I2" s="246"/>
      <c r="J2" s="247"/>
      <c r="K2" s="248" t="s">
        <v>95</v>
      </c>
      <c r="L2" s="249"/>
    </row>
    <row r="3" spans="2:12" ht="21" customHeight="1">
      <c r="B3" s="243"/>
      <c r="C3" s="245" t="s">
        <v>96</v>
      </c>
      <c r="D3" s="247"/>
      <c r="E3" s="245"/>
      <c r="F3" s="247"/>
      <c r="G3" s="245" t="s">
        <v>97</v>
      </c>
      <c r="H3" s="247"/>
      <c r="I3" s="245" t="s">
        <v>31</v>
      </c>
      <c r="J3" s="247"/>
      <c r="K3" s="250"/>
      <c r="L3" s="251"/>
    </row>
    <row r="4" spans="2:12" ht="21" customHeight="1">
      <c r="B4" s="244"/>
      <c r="C4" s="81" t="s">
        <v>87</v>
      </c>
      <c r="D4" s="81" t="s">
        <v>88</v>
      </c>
      <c r="E4" s="81" t="s">
        <v>87</v>
      </c>
      <c r="F4" s="81" t="s">
        <v>88</v>
      </c>
      <c r="G4" s="81" t="s">
        <v>87</v>
      </c>
      <c r="H4" s="81" t="s">
        <v>88</v>
      </c>
      <c r="I4" s="81" t="s">
        <v>87</v>
      </c>
      <c r="J4" s="81" t="s">
        <v>88</v>
      </c>
      <c r="K4" s="81" t="s">
        <v>87</v>
      </c>
      <c r="L4" s="81" t="s">
        <v>88</v>
      </c>
    </row>
    <row r="5" spans="2:12" ht="21" customHeight="1">
      <c r="B5" s="82" t="s">
        <v>21</v>
      </c>
      <c r="C5" s="83"/>
      <c r="D5" s="84"/>
      <c r="E5" s="83">
        <f>SUMIFS(Daily!$R:$R, Daily!$AA:$AA, "*정기수*", Daily!$I:$I, "*수리완료",Daily!$F:$F,"&lt;&gt;", Daily!$G:$G, "=1")</f>
        <v>29</v>
      </c>
      <c r="F5" s="83">
        <f>SUMIFS(Daily!$Y:$Y, Daily!$AA:$AA, "*정기수*", Daily!$I:$I, "*수리완료",Daily!$F:$F,"&lt;&gt;", Daily!$G:$G, "=1")+SUMIFS(Daily!$Y:$Y, Daily!$AA:$AA, "*정기수*", Daily!$I:$I, "폐기",Daily!$F:$F,"&lt;&gt;", Daily!$G:$G, "=1")+SUMIFS(Daily!$Y:$Y, Daily!$AA:$AA, "*정기수*", Daily!$I:$I, "수리불가",Daily!$F:$F,"&lt;&gt;", Daily!$G:$G, "=1")</f>
        <v>77</v>
      </c>
      <c r="G5" s="83"/>
      <c r="H5" s="84"/>
      <c r="I5" s="83">
        <f>SUMIFS(Daily!$R:$R, Daily!$AA:$AA, "*정기수*", Daily!$I:$I, "Other", Daily!$F:$F,"&lt;&gt;", Daily!$G:$G, "=1")</f>
        <v>1</v>
      </c>
      <c r="J5" s="83">
        <f>SUMIFS(Daily!$Y:$Y, Daily!$AA:$AA, "*정기수*", Daily!$I:$I, "Other",Daily!$F:$F,"&lt;&gt;", Daily!$G:$G, "=1")</f>
        <v>3</v>
      </c>
      <c r="K5" s="83">
        <f>C5+E5+G5+I5</f>
        <v>30</v>
      </c>
      <c r="L5" s="84">
        <f>D5+F5+H5+J5</f>
        <v>80</v>
      </c>
    </row>
    <row r="6" spans="2:12" ht="21" customHeight="1">
      <c r="B6" s="82" t="s">
        <v>36</v>
      </c>
      <c r="C6" s="83"/>
      <c r="D6" s="84"/>
      <c r="E6" s="83">
        <f>SUMIFS(Daily!$R:$R, Daily!$AA:$AA, "*정기수*", Daily!$I:$I, "*수리완료",Daily!$F:$F,"&lt;&gt;", Daily!$G:$G, "=2")</f>
        <v>21</v>
      </c>
      <c r="F6" s="83">
        <f>SUMIFS(Daily!$Y:$Y, Daily!$AA:$AA, "*정기수*", Daily!$I:$I, "*수리완료",Daily!$F:$F,"&lt;&gt;", Daily!$G:$G, "=2")+SUMIFS(Daily!$Y:$Y, Daily!$AA:$AA, "*정기수*", Daily!$I:$I, "폐기",Daily!$F:$F,"&lt;&gt;", Daily!$G:$G, "=2")+SUMIFS(Daily!$Y:$Y, Daily!$AA:$AA, "*정기수*", Daily!$I:$I, "수리불가",Daily!$F:$F,"&lt;&gt;", Daily!$G:$G, "=2")</f>
        <v>63</v>
      </c>
      <c r="G6" s="83"/>
      <c r="H6" s="84"/>
      <c r="I6" s="83">
        <f>SUMIFS(Daily!$R:$R, Daily!$AA:$AA, "*정기수*", Daily!$I:$I, "Other", Daily!$F:$F,"&lt;&gt;", Daily!$G:$G, "=2")</f>
        <v>0</v>
      </c>
      <c r="J6" s="83">
        <f>SUMIFS(Daily!$Y:$Y, Daily!$AA:$AA, "*정기수*", Daily!$I:$I, "Other",Daily!$F:$F,"&lt;&gt;", Daily!$G:$G, "=2")</f>
        <v>0</v>
      </c>
      <c r="K6" s="83">
        <f t="shared" ref="K6:L16" si="0">C6+E6+G6+I6</f>
        <v>21</v>
      </c>
      <c r="L6" s="84">
        <f t="shared" si="0"/>
        <v>63</v>
      </c>
    </row>
    <row r="7" spans="2:12" ht="21" customHeight="1">
      <c r="B7" s="82" t="s">
        <v>19</v>
      </c>
      <c r="C7" s="83"/>
      <c r="D7" s="84"/>
      <c r="E7" s="83">
        <f>SUMIFS(Daily!$R:$R, Daily!$AA:$AA, "*정기수*", Daily!$I:$I, "*수리완료",Daily!$F:$F,"&lt;&gt;", Daily!$G:$G, "=3")</f>
        <v>33</v>
      </c>
      <c r="F7" s="83">
        <f>SUMIFS(Daily!$Y:$Y, Daily!$AA:$AA, "*정기수*", Daily!$I:$I, "*수리완료",Daily!$F:$F,"&lt;&gt;", Daily!$G:$G, "=3")+SUMIFS(Daily!$Y:$Y, Daily!$AA:$AA, "*정기수*", Daily!$I:$I, "폐기",Daily!$F:$F,"&lt;&gt;", Daily!$G:$G, "=3")+SUMIFS(Daily!$Y:$Y, Daily!$AA:$AA, "*정기수*", Daily!$I:$I, "수리불가",Daily!$F:$F,"&lt;&gt;", Daily!$G:$G, "=3")</f>
        <v>85</v>
      </c>
      <c r="G7" s="83"/>
      <c r="H7" s="84"/>
      <c r="I7" s="83">
        <f>SUMIFS(Daily!$R:$R, Daily!$AA:$AA, "*정기수*", Daily!$I:$I, "Other", Daily!$F:$F,"&lt;&gt;", Daily!$G:$G, "=3")</f>
        <v>0</v>
      </c>
      <c r="J7" s="83">
        <f>SUMIFS(Daily!$Y:$Y, Daily!$AA:$AA, "*정기수*", Daily!$I:$I, "Other",Daily!$F:$F,"&lt;&gt;", Daily!$G:$G, "=3")</f>
        <v>0</v>
      </c>
      <c r="K7" s="83">
        <f t="shared" si="0"/>
        <v>33</v>
      </c>
      <c r="L7" s="84">
        <f t="shared" si="0"/>
        <v>85</v>
      </c>
    </row>
    <row r="8" spans="2:12" ht="21" customHeight="1">
      <c r="B8" s="82" t="s">
        <v>37</v>
      </c>
      <c r="C8" s="83"/>
      <c r="D8" s="84"/>
      <c r="E8" s="83">
        <f>SUMIFS(Daily!$R:$R, Daily!$AA:$AA, "*정기수*", Daily!$I:$I, "*수리완료",Daily!$F:$F,"&lt;&gt;", Daily!$G:$G, "=4")</f>
        <v>29</v>
      </c>
      <c r="F8" s="83">
        <f>SUMIFS(Daily!$Y:$Y, Daily!$AA:$AA, "*정기수*", Daily!$I:$I, "*수리완료",Daily!$F:$F,"&lt;&gt;", Daily!$G:$G, "=4")+SUMIFS(Daily!$Y:$Y, Daily!$AA:$AA, "*정기수*", Daily!$I:$I, "폐기",Daily!$F:$F,"&lt;&gt;", Daily!$G:$G, "=4")+SUMIFS(Daily!$Y:$Y, Daily!$AA:$AA, "*정기수*", Daily!$I:$I, "수리불가",Daily!$F:$F,"&lt;&gt;", Daily!$G:$G, "=4")</f>
        <v>90</v>
      </c>
      <c r="G8" s="83"/>
      <c r="H8" s="84"/>
      <c r="I8" s="83">
        <f>SUMIFS(Daily!$R:$R, Daily!$AA:$AA, "*정기수*", Daily!$I:$I, "Other", Daily!$F:$F,"&lt;&gt;", Daily!$G:$G, "=4")</f>
        <v>0</v>
      </c>
      <c r="J8" s="83">
        <f>SUMIFS(Daily!$Y:$Y, Daily!$AA:$AA, "*정기수*", Daily!$I:$I, "Other",Daily!$F:$F,"&lt;&gt;", Daily!$G:$G, "=4")</f>
        <v>0</v>
      </c>
      <c r="K8" s="83">
        <f t="shared" si="0"/>
        <v>29</v>
      </c>
      <c r="L8" s="84">
        <f t="shared" si="0"/>
        <v>90</v>
      </c>
    </row>
    <row r="9" spans="2:12" ht="21" customHeight="1">
      <c r="B9" s="82" t="s">
        <v>46</v>
      </c>
      <c r="C9" s="83"/>
      <c r="D9" s="84"/>
      <c r="E9" s="83">
        <f>SUMIFS(Daily!$R:$R, Daily!$AA:$AA, "*정기수*", Daily!$I:$I, "*수리완료",Daily!$F:$F,"&lt;&gt;", Daily!$G:$G, "=5")</f>
        <v>39</v>
      </c>
      <c r="F9" s="83">
        <f>SUMIFS(Daily!$Y:$Y, Daily!$AA:$AA, "*정기수*", Daily!$I:$I, "*수리완료",Daily!$F:$F,"&lt;&gt;", Daily!$G:$G, "=5")+SUMIFS(Daily!$Y:$Y, Daily!$AA:$AA, "*정기수*", Daily!$I:$I, "폐기",Daily!$F:$F,"&lt;&gt;", Daily!$G:$G, "=5")+SUMIFS(Daily!$Y:$Y, Daily!$AA:$AA, "*정기수*", Daily!$I:$I, "수리불가",Daily!$F:$F,"&lt;&gt;", Daily!$G:$G, "=5")</f>
        <v>88</v>
      </c>
      <c r="G9" s="83"/>
      <c r="H9" s="84"/>
      <c r="I9" s="83">
        <f>SUMIFS(Daily!$R:$R, Daily!$AA:$AA, "*정기수*", Daily!$I:$I, "Other", Daily!$F:$F,"&lt;&gt;", Daily!$G:$G, "=5")</f>
        <v>2</v>
      </c>
      <c r="J9" s="83">
        <f>SUMIFS(Daily!$Y:$Y, Daily!$AA:$AA, "*정기수*", Daily!$I:$I, "Other",Daily!$F:$F,"&lt;&gt;", Daily!$G:$G, "=5")</f>
        <v>9</v>
      </c>
      <c r="K9" s="83">
        <f t="shared" si="0"/>
        <v>41</v>
      </c>
      <c r="L9" s="84">
        <f t="shared" si="0"/>
        <v>97</v>
      </c>
    </row>
    <row r="10" spans="2:12" ht="21" customHeight="1">
      <c r="B10" s="82" t="s">
        <v>45</v>
      </c>
      <c r="C10" s="83"/>
      <c r="D10" s="84"/>
      <c r="E10" s="83">
        <f>SUMIFS(Daily!$R:$R, Daily!$AA:$AA, "*정기수*", Daily!$I:$I, "*수리완료",Daily!$F:$F,"&lt;&gt;", Daily!$G:$G, "=6")</f>
        <v>40</v>
      </c>
      <c r="F10" s="83">
        <f>SUMIFS(Daily!$Y:$Y, Daily!$AA:$AA, "*정기수*", Daily!$I:$I, "*수리완료",Daily!$F:$F,"&lt;&gt;", Daily!$G:$G, "=6")+SUMIFS(Daily!$Y:$Y, Daily!$AA:$AA, "*정기수*", Daily!$I:$I, "폐기",Daily!$F:$F,"&lt;&gt;", Daily!$G:$G, "=6")+SUMIFS(Daily!$Y:$Y, Daily!$AA:$AA, "*정기수*", Daily!$I:$I, "수리불가",Daily!$F:$F,"&lt;&gt;", Daily!$G:$G, "=6")</f>
        <v>98</v>
      </c>
      <c r="G10" s="83"/>
      <c r="H10" s="84"/>
      <c r="I10" s="83">
        <f>SUMIFS(Daily!$R:$R, Daily!$AA:$AA, "*정기수*", Daily!$I:$I, "Other", Daily!$F:$F,"&lt;&gt;", Daily!$G:$G, "=6")</f>
        <v>4</v>
      </c>
      <c r="J10" s="83">
        <f>SUMIFS(Daily!$Y:$Y, Daily!$AA:$AA, "*정기수*", Daily!$I:$I, "Other",Daily!$F:$F,"&lt;&gt;", Daily!$G:$G, "=6")</f>
        <v>14</v>
      </c>
      <c r="K10" s="83">
        <f t="shared" si="0"/>
        <v>44</v>
      </c>
      <c r="L10" s="84">
        <f t="shared" si="0"/>
        <v>112</v>
      </c>
    </row>
    <row r="11" spans="2:12" ht="21" customHeight="1">
      <c r="B11" s="82" t="s">
        <v>48</v>
      </c>
      <c r="C11" s="83"/>
      <c r="D11" s="84"/>
      <c r="E11" s="83">
        <f>SUMIFS(Daily!$R:$R, Daily!$AA:$AA, "*정기수*", Daily!$I:$I, "*수리완료",Daily!$F:$F,"&lt;&gt;", Daily!$G:$G, "=7")</f>
        <v>58</v>
      </c>
      <c r="F11" s="83">
        <f>SUMIFS(Daily!$Y:$Y, Daily!$AA:$AA, "*정기수*", Daily!$I:$I, "*수리완료",Daily!$F:$F,"&lt;&gt;", Daily!$G:$G, "=7")+SUMIFS(Daily!$Y:$Y, Daily!$AA:$AA, "*정기수*", Daily!$I:$I, "폐기",Daily!$F:$F,"&lt;&gt;", Daily!$G:$G, "=7")+SUMIFS(Daily!$Y:$Y, Daily!$AA:$AA, "*정기수*", Daily!$I:$I, "수리불가",Daily!$F:$F,"&lt;&gt;", Daily!$G:$G, "=7")</f>
        <v>106</v>
      </c>
      <c r="G11" s="83"/>
      <c r="H11" s="84"/>
      <c r="I11" s="83">
        <f>SUMIFS(Daily!$R:$R, Daily!$AA:$AA, "*정기수*", Daily!$I:$I, "Other", Daily!$F:$F,"&lt;&gt;", Daily!$G:$G, "=7")</f>
        <v>0</v>
      </c>
      <c r="J11" s="83">
        <f>SUMIFS(Daily!$Y:$Y, Daily!$AA:$AA, "*정기수*", Daily!$I:$I, "Other",Daily!$F:$F,"&lt;&gt;", Daily!$G:$G, "=7")</f>
        <v>0</v>
      </c>
      <c r="K11" s="83">
        <f t="shared" si="0"/>
        <v>58</v>
      </c>
      <c r="L11" s="84">
        <f t="shared" si="0"/>
        <v>106</v>
      </c>
    </row>
    <row r="12" spans="2:12" ht="21" customHeight="1">
      <c r="B12" s="82" t="s">
        <v>50</v>
      </c>
      <c r="C12" s="83"/>
      <c r="D12" s="84"/>
      <c r="E12" s="83">
        <f>SUMIFS(Daily!$R:$R, Daily!$AA:$AA, "*정기수*", Daily!$I:$I, "*수리완료",Daily!$F:$F,"&lt;&gt;", Daily!$G:$G, "=8")</f>
        <v>20</v>
      </c>
      <c r="F12" s="83">
        <f>SUMIFS(Daily!$Y:$Y, Daily!$AA:$AA, "*정기수*", Daily!$I:$I, "*수리완료",Daily!$F:$F,"&lt;&gt;", Daily!$G:$G, "=8")+SUMIFS(Daily!$Y:$Y, Daily!$AA:$AA, "*정기수*", Daily!$I:$I, "폐기",Daily!$F:$F,"&lt;&gt;", Daily!$G:$G, "=8")+SUMIFS(Daily!$Y:$Y, Daily!$AA:$AA, "*정기수*", Daily!$I:$I, "수리불가",Daily!$F:$F,"&lt;&gt;", Daily!$G:$G, "=8")</f>
        <v>48</v>
      </c>
      <c r="G12" s="83"/>
      <c r="H12" s="84"/>
      <c r="I12" s="83">
        <f>SUMIFS(Daily!$R:$R, Daily!$AA:$AA, "*정기수*", Daily!$I:$I, "Other", Daily!$F:$F,"&lt;&gt;", Daily!$G:$G, "=8")</f>
        <v>9</v>
      </c>
      <c r="J12" s="83">
        <f>SUMIFS(Daily!$Y:$Y, Daily!$AA:$AA, "*정기수*", Daily!$I:$I, "Other",Daily!$F:$F,"&lt;&gt;", Daily!$G:$G, "=8")</f>
        <v>45</v>
      </c>
      <c r="K12" s="83">
        <f t="shared" si="0"/>
        <v>29</v>
      </c>
      <c r="L12" s="84">
        <f t="shared" si="0"/>
        <v>93</v>
      </c>
    </row>
    <row r="13" spans="2:12" ht="21" customHeight="1">
      <c r="B13" s="82" t="s">
        <v>20</v>
      </c>
      <c r="C13" s="83"/>
      <c r="D13" s="84"/>
      <c r="E13" s="83">
        <f>SUMIFS(Daily!$R:$R, Daily!$AA:$AA, "*정기수*", Daily!$I:$I, "*수리완료",Daily!$F:$F,"&lt;&gt;", Daily!$G:$G, "=9")</f>
        <v>15</v>
      </c>
      <c r="F13" s="83">
        <f>SUMIFS(Daily!$Y:$Y, Daily!$AA:$AA, "*정기수*", Daily!$I:$I, "*수리완료",Daily!$F:$F,"&lt;&gt;", Daily!$G:$G, "=9")+SUMIFS(Daily!$Y:$Y, Daily!$AA:$AA, "*정기수*", Daily!$I:$I, "폐기",Daily!$F:$F,"&lt;&gt;", Daily!$G:$G, "=9")+SUMIFS(Daily!$Y:$Y, Daily!$AA:$AA, "*정기수*", Daily!$I:$I, "수리불가",Daily!$F:$F,"&lt;&gt;", Daily!$G:$G, "=9")</f>
        <v>46</v>
      </c>
      <c r="G13" s="83"/>
      <c r="H13" s="84"/>
      <c r="I13" s="83">
        <f>SUMIFS(Daily!$R:$R, Daily!$AA:$AA, "*정기수*", Daily!$I:$I, "Other", Daily!$F:$F,"&lt;&gt;", Daily!$G:$G, "=9")</f>
        <v>6</v>
      </c>
      <c r="J13" s="83">
        <f>SUMIFS(Daily!$Y:$Y, Daily!$AA:$AA, "*정기수*", Daily!$I:$I, "Other",Daily!$F:$F,"&lt;&gt;", Daily!$G:$G, "=9")</f>
        <v>40</v>
      </c>
      <c r="K13" s="83">
        <f t="shared" si="0"/>
        <v>21</v>
      </c>
      <c r="L13" s="84">
        <f t="shared" si="0"/>
        <v>86</v>
      </c>
    </row>
    <row r="14" spans="2:12" ht="21" customHeight="1">
      <c r="B14" s="82" t="s">
        <v>98</v>
      </c>
      <c r="C14" s="83"/>
      <c r="D14" s="84"/>
      <c r="E14" s="83">
        <f>SUMIFS(Daily!$R:$R, Daily!$AA:$AA, "*정기수*", Daily!$I:$I, "*수리완료",Daily!$F:$F,"&lt;&gt;", Daily!$G:$G, "=10")</f>
        <v>43</v>
      </c>
      <c r="F14" s="83">
        <f>SUMIFS(Daily!$Y:$Y, Daily!$AA:$AA, "*정기수*", Daily!$I:$I, "*수리완료",Daily!$F:$F,"&lt;&gt;", Daily!$G:$G, "=10")+SUMIFS(Daily!$Y:$Y, Daily!$AA:$AA, "*정기수*", Daily!$I:$I, "폐기",Daily!$F:$F,"&lt;&gt;", Daily!$G:$G, "=10")+SUMIFS(Daily!$Y:$Y, Daily!$AA:$AA, "*정기수*", Daily!$I:$I, "수리불가",Daily!$F:$F,"&lt;&gt;", Daily!$G:$G, "=10")</f>
        <v>94</v>
      </c>
      <c r="G14" s="83"/>
      <c r="H14" s="84"/>
      <c r="I14" s="83">
        <f>SUMIFS(Daily!$R:$R, Daily!$AA:$AA, "*정기수*", Daily!$I:$I, "Other", Daily!$F:$F,"&lt;&gt;", Daily!$G:$G, "=10")</f>
        <v>2</v>
      </c>
      <c r="J14" s="83">
        <f>SUMIFS(Daily!$Y:$Y, Daily!$AA:$AA, "*정기수*", Daily!$I:$I, "Other",Daily!$F:$F,"&lt;&gt;", Daily!$G:$G, "=10")</f>
        <v>14</v>
      </c>
      <c r="K14" s="83">
        <f t="shared" si="0"/>
        <v>45</v>
      </c>
      <c r="L14" s="84">
        <f t="shared" si="0"/>
        <v>108</v>
      </c>
    </row>
    <row r="15" spans="2:12" ht="21" customHeight="1">
      <c r="B15" s="82" t="s">
        <v>25</v>
      </c>
      <c r="C15" s="83"/>
      <c r="D15" s="84"/>
      <c r="E15" s="83">
        <f>SUMIFS(Daily!$R:$R, Daily!$AA:$AA, "*정기수*", Daily!$I:$I, "*수리완료",Daily!$F:$F,"&lt;&gt;", Daily!$G:$G, "=11")</f>
        <v>29</v>
      </c>
      <c r="F15" s="83">
        <f>SUMIFS(Daily!$Y:$Y, Daily!$AA:$AA, "*정기수*", Daily!$I:$I, "*수리완료",Daily!$F:$F,"&lt;&gt;", Daily!$G:$G, "=11")+SUMIFS(Daily!$Y:$Y, Daily!$AA:$AA, "*정기수*", Daily!$I:$I, "폐기",Daily!$F:$F,"&lt;&gt;", Daily!$G:$G, "=11")+SUMIFS(Daily!$Y:$Y, Daily!$AA:$AA, "*정기수*", Daily!$I:$I, "수리불가",Daily!$F:$F,"&lt;&gt;", Daily!$G:$G, "=11")</f>
        <v>82</v>
      </c>
      <c r="G15" s="83"/>
      <c r="H15" s="84"/>
      <c r="I15" s="83">
        <f>SUMIFS(Daily!$R:$R, Daily!$AA:$AA, "*정기수*", Daily!$I:$I, "Other", Daily!$F:$F,"&lt;&gt;", Daily!$G:$G, "=11")</f>
        <v>14</v>
      </c>
      <c r="J15" s="83">
        <f>SUMIFS(Daily!$Y:$Y, Daily!$AA:$AA, "*정기수*", Daily!$I:$I, "Other",Daily!$F:$F,"&lt;&gt;", Daily!$G:$G, "=11")</f>
        <v>23</v>
      </c>
      <c r="K15" s="83">
        <f t="shared" si="0"/>
        <v>43</v>
      </c>
      <c r="L15" s="84">
        <f t="shared" si="0"/>
        <v>105</v>
      </c>
    </row>
    <row r="16" spans="2:12" ht="21" customHeight="1">
      <c r="B16" s="82" t="s">
        <v>26</v>
      </c>
      <c r="C16" s="83"/>
      <c r="D16" s="84"/>
      <c r="E16" s="83">
        <f>SUMIFS(Daily!$R:$R, Daily!$AA:$AA, "*정기수*", Daily!$I:$I, "*수리완료",Daily!$F:$F,"&lt;&gt;", Daily!$G:$G, "=12")</f>
        <v>34</v>
      </c>
      <c r="F16" s="83">
        <f>SUMIFS(Daily!$Y:$Y, Daily!$AA:$AA, "*정기수*", Daily!$I:$I, "*수리완료",Daily!$F:$F,"&lt;&gt;", Daily!$G:$G, "=12")+SUMIFS(Daily!$Y:$Y, Daily!$AA:$AA, "*정기수*", Daily!$I:$I, "폐기",Daily!$F:$F,"&lt;&gt;", Daily!$G:$G, "=12")+SUMIFS(Daily!$Y:$Y, Daily!$AA:$AA, "*정기수*", Daily!$I:$I, "수리불가",Daily!$F:$F,"&lt;&gt;", Daily!$G:$G, "=12")</f>
        <v>80</v>
      </c>
      <c r="G16" s="83"/>
      <c r="H16" s="84"/>
      <c r="I16" s="83">
        <f>SUMIFS(Daily!$R:$R, Daily!$AA:$AA, "*정기수*", Daily!$I:$I, "Other", Daily!$F:$F,"&lt;&gt;", Daily!$G:$G, "=12")</f>
        <v>18</v>
      </c>
      <c r="J16" s="83">
        <f>SUMIFS(Daily!$Y:$Y, Daily!$AA:$AA, "*정기수*", Daily!$I:$I, "Other",Daily!$F:$F,"&lt;&gt;", Daily!$G:$G, "=12")</f>
        <v>30</v>
      </c>
      <c r="K16" s="83">
        <f t="shared" si="0"/>
        <v>52</v>
      </c>
      <c r="L16" s="84">
        <f t="shared" si="0"/>
        <v>110</v>
      </c>
    </row>
    <row r="17" spans="2:12" ht="21" customHeight="1">
      <c r="B17" s="81" t="s">
        <v>95</v>
      </c>
      <c r="C17" s="85">
        <f t="shared" ref="C17:L17" si="1">SUM(C5:C16)</f>
        <v>0</v>
      </c>
      <c r="D17" s="81">
        <f t="shared" si="1"/>
        <v>0</v>
      </c>
      <c r="E17" s="85">
        <f t="shared" si="1"/>
        <v>390</v>
      </c>
      <c r="F17" s="86">
        <f t="shared" si="1"/>
        <v>957</v>
      </c>
      <c r="G17" s="85">
        <f t="shared" si="1"/>
        <v>0</v>
      </c>
      <c r="H17" s="86">
        <f t="shared" si="1"/>
        <v>0</v>
      </c>
      <c r="I17" s="85">
        <f t="shared" si="1"/>
        <v>56</v>
      </c>
      <c r="J17" s="86">
        <f t="shared" si="1"/>
        <v>178</v>
      </c>
      <c r="K17" s="85">
        <f t="shared" si="1"/>
        <v>446</v>
      </c>
      <c r="L17" s="86">
        <f t="shared" si="1"/>
        <v>1135</v>
      </c>
    </row>
  </sheetData>
  <mergeCells count="7">
    <mergeCell ref="B2:B4"/>
    <mergeCell ref="C2:J2"/>
    <mergeCell ref="K2:L3"/>
    <mergeCell ref="C3:D3"/>
    <mergeCell ref="E3:F3"/>
    <mergeCell ref="G3:H3"/>
    <mergeCell ref="I3:J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Daily</vt:lpstr>
      <vt:lpstr>E-Board</vt:lpstr>
      <vt:lpstr>Weekly Performance</vt:lpstr>
      <vt:lpstr>Monthly Performance</vt:lpstr>
      <vt:lpstr>Yearly Performance</vt:lpstr>
      <vt:lpstr>자체.외주수리비율</vt:lpstr>
      <vt:lpstr>Ionizer</vt:lpstr>
      <vt:lpstr>강영구sum</vt:lpstr>
      <vt:lpstr>장은철sum</vt:lpstr>
      <vt:lpstr>허준영sum</vt:lpstr>
      <vt:lpstr>박병대sum</vt:lpstr>
      <vt:lpstr>최준영sum</vt:lpstr>
      <vt:lpstr>정기수sum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ChiKyun Kim</cp:lastModifiedBy>
  <dcterms:created xsi:type="dcterms:W3CDTF">2018-09-14T04:02:44Z</dcterms:created>
  <dcterms:modified xsi:type="dcterms:W3CDTF">2021-01-27T11:46:18Z</dcterms:modified>
</cp:coreProperties>
</file>