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2.xml" ContentType="application/vnd.openxmlformats-officedocument.drawing+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drawings/drawing3.xml" ContentType="application/vnd.openxmlformats-officedocument.drawing+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drawings/drawing4.xml" ContentType="application/vnd.openxmlformats-officedocument.drawing+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drawings/drawing5.xml" ContentType="application/vnd.openxmlformats-officedocument.drawing+xml"/>
  <Override PartName="/xl/charts/chart10.xml" ContentType="application/vnd.openxmlformats-officedocument.drawingml.chart+xml"/>
  <Override PartName="/xl/charts/style10.xml" ContentType="application/vnd.ms-office.chartstyle+xml"/>
  <Override PartName="/xl/charts/colors10.xml" ContentType="application/vnd.ms-office.chartcolorstyle+xml"/>
  <Override PartName="/xl/charts/chart11.xml" ContentType="application/vnd.openxmlformats-officedocument.drawingml.chart+xml"/>
  <Override PartName="/xl/charts/style11.xml" ContentType="application/vnd.ms-office.chartstyle+xml"/>
  <Override PartName="/xl/charts/colors11.xml" ContentType="application/vnd.ms-office.chartcolorstyle+xml"/>
  <Override PartName="/xl/drawings/drawing6.xml" ContentType="application/vnd.openxmlformats-officedocument.drawing+xml"/>
  <Override PartName="/xl/charts/chart12.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530"/>
  <workbookPr codeName="현재_통합_문서" defaultThemeVersion="166925"/>
  <mc:AlternateContent xmlns:mc="http://schemas.openxmlformats.org/markup-compatibility/2006">
    <mc:Choice Requires="x15">
      <x15ac:absPath xmlns:x15ac="http://schemas.microsoft.com/office/spreadsheetml/2010/11/ac" url="D:\Source\##### 완료아이템\(014) GroupWare\Source\SubProject\FPJ0000\"/>
    </mc:Choice>
  </mc:AlternateContent>
  <xr:revisionPtr revIDLastSave="0" documentId="13_ncr:1_{32FAC418-C27B-466A-90D4-3C2144FE8FE0}" xr6:coauthVersionLast="46" xr6:coauthVersionMax="46" xr10:uidLastSave="{00000000-0000-0000-0000-000000000000}"/>
  <bookViews>
    <workbookView xWindow="28680" yWindow="-120" windowWidth="19440" windowHeight="15000" xr2:uid="{00000000-000D-0000-FFFF-FFFF00000000}"/>
  </bookViews>
  <sheets>
    <sheet name="Daily" sheetId="2" r:id="rId1"/>
    <sheet name="E-Board" sheetId="16" r:id="rId2"/>
    <sheet name="Weekly Performance" sheetId="6" r:id="rId3"/>
    <sheet name="Monthly Performance" sheetId="7" r:id="rId4"/>
    <sheet name="Yearly Performance" sheetId="15" r:id="rId5"/>
    <sheet name="자체.외주수리비율" sheetId="5" r:id="rId6"/>
    <sheet name="Ionizer" sheetId="4" r:id="rId7"/>
    <sheet name="강영구sum" sheetId="8" r:id="rId8"/>
    <sheet name="장은철sum" sheetId="9" r:id="rId9"/>
    <sheet name="허준영sum" sheetId="10" r:id="rId10"/>
    <sheet name="박병대sum" sheetId="11" r:id="rId11"/>
    <sheet name="최준영sum" sheetId="12" r:id="rId12"/>
    <sheet name="정기수sum" sheetId="18" r:id="rId13"/>
  </sheets>
  <definedNames>
    <definedName name="_xlnm._FilterDatabase" localSheetId="0" hidden="1">Daily!$A$1:$AB$362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17" i="18" l="1"/>
  <c r="G17" i="18"/>
  <c r="D17" i="18"/>
  <c r="C17" i="18"/>
  <c r="H17" i="12"/>
  <c r="G17" i="12"/>
  <c r="D17" i="12"/>
  <c r="C17" i="12"/>
  <c r="H17" i="11"/>
  <c r="G17" i="11"/>
  <c r="D17" i="11"/>
  <c r="C17" i="11"/>
  <c r="J16" i="11"/>
  <c r="I16" i="11"/>
  <c r="F16" i="11"/>
  <c r="L16" i="11" s="1"/>
  <c r="E16" i="11"/>
  <c r="K16" i="11" s="1"/>
  <c r="J15" i="11"/>
  <c r="I15" i="11"/>
  <c r="F15" i="11"/>
  <c r="E15" i="11"/>
  <c r="K15" i="11" s="1"/>
  <c r="J14" i="11"/>
  <c r="I14" i="11"/>
  <c r="F14" i="11"/>
  <c r="L14" i="11" s="1"/>
  <c r="E14" i="11"/>
  <c r="J13" i="11"/>
  <c r="I13" i="11"/>
  <c r="F13" i="11"/>
  <c r="E13" i="11"/>
  <c r="J12" i="11"/>
  <c r="I12" i="11"/>
  <c r="F12" i="11"/>
  <c r="L12" i="11" s="1"/>
  <c r="E12" i="11"/>
  <c r="J11" i="11"/>
  <c r="I11" i="11"/>
  <c r="F11" i="11"/>
  <c r="E11" i="11"/>
  <c r="J10" i="11"/>
  <c r="I10" i="11"/>
  <c r="F10" i="11"/>
  <c r="E10" i="11"/>
  <c r="J9" i="11"/>
  <c r="L9" i="11" s="1"/>
  <c r="I9" i="11"/>
  <c r="F9" i="11"/>
  <c r="E9" i="11"/>
  <c r="J8" i="11"/>
  <c r="I8" i="11"/>
  <c r="F8" i="11"/>
  <c r="L8" i="11" s="1"/>
  <c r="E8" i="11"/>
  <c r="J7" i="11"/>
  <c r="I7" i="11"/>
  <c r="F7" i="11"/>
  <c r="E7" i="11"/>
  <c r="J6" i="11"/>
  <c r="I6" i="11"/>
  <c r="F6" i="11"/>
  <c r="L6" i="11" s="1"/>
  <c r="E6" i="11"/>
  <c r="K6" i="11" s="1"/>
  <c r="J5" i="11"/>
  <c r="I5" i="11"/>
  <c r="I17" i="11" s="1"/>
  <c r="F5" i="11"/>
  <c r="E5" i="11"/>
  <c r="H17" i="10"/>
  <c r="G17" i="10"/>
  <c r="D17" i="10"/>
  <c r="C17" i="10"/>
  <c r="H17" i="9"/>
  <c r="G17" i="9"/>
  <c r="D17" i="9"/>
  <c r="C17" i="9"/>
  <c r="H17" i="8"/>
  <c r="G17" i="8"/>
  <c r="D17" i="8"/>
  <c r="C17" i="8"/>
  <c r="J16" i="8"/>
  <c r="I16" i="8"/>
  <c r="J15" i="8"/>
  <c r="I15" i="8"/>
  <c r="J14" i="8"/>
  <c r="I14" i="8"/>
  <c r="J13" i="8"/>
  <c r="I13" i="8"/>
  <c r="J12" i="8"/>
  <c r="I12" i="8"/>
  <c r="J11" i="8"/>
  <c r="I11" i="8"/>
  <c r="J10" i="8"/>
  <c r="I10" i="8"/>
  <c r="J9" i="8"/>
  <c r="I9" i="8"/>
  <c r="J8" i="8"/>
  <c r="I8" i="8"/>
  <c r="J7" i="8"/>
  <c r="I7" i="8"/>
  <c r="J6" i="8"/>
  <c r="I6" i="8"/>
  <c r="J5" i="8"/>
  <c r="J17" i="8" s="1"/>
  <c r="I5" i="8"/>
  <c r="I17" i="8" s="1"/>
  <c r="M33" i="5"/>
  <c r="L33" i="5"/>
  <c r="K33" i="5"/>
  <c r="J33" i="5"/>
  <c r="I33" i="5"/>
  <c r="H33" i="5"/>
  <c r="G33" i="5"/>
  <c r="F33" i="5"/>
  <c r="E33" i="5"/>
  <c r="D33" i="5"/>
  <c r="C33" i="5"/>
  <c r="B33" i="5"/>
  <c r="M32" i="5"/>
  <c r="L32" i="5"/>
  <c r="K32" i="5"/>
  <c r="J32" i="5"/>
  <c r="I32" i="5"/>
  <c r="H32" i="5"/>
  <c r="G32" i="5"/>
  <c r="F32" i="5"/>
  <c r="E32" i="5"/>
  <c r="D32" i="5"/>
  <c r="C32" i="5"/>
  <c r="B32" i="5"/>
  <c r="M30" i="5"/>
  <c r="L30" i="5"/>
  <c r="K30" i="5"/>
  <c r="J30" i="5"/>
  <c r="I30" i="5"/>
  <c r="H30" i="5"/>
  <c r="G30" i="5"/>
  <c r="F30" i="5"/>
  <c r="E30" i="5"/>
  <c r="D30" i="5"/>
  <c r="C30" i="5"/>
  <c r="B30" i="5"/>
  <c r="G9" i="15"/>
  <c r="F9" i="15"/>
  <c r="C9" i="15"/>
  <c r="B9" i="15"/>
  <c r="G8" i="15"/>
  <c r="F8" i="15"/>
  <c r="C8" i="15"/>
  <c r="B8" i="15"/>
  <c r="G7" i="15"/>
  <c r="F7" i="15"/>
  <c r="E7" i="15"/>
  <c r="D7" i="15"/>
  <c r="C7" i="15"/>
  <c r="B7" i="15"/>
  <c r="G6" i="15"/>
  <c r="F6" i="15"/>
  <c r="C6" i="15"/>
  <c r="B6" i="15"/>
  <c r="G5" i="15"/>
  <c r="F5" i="15"/>
  <c r="C5" i="15"/>
  <c r="B5" i="15"/>
  <c r="G4" i="15"/>
  <c r="G10" i="15" s="1"/>
  <c r="F4" i="15"/>
  <c r="F10" i="15" s="1"/>
  <c r="C4" i="15"/>
  <c r="B4" i="15"/>
  <c r="B10" i="15" s="1"/>
  <c r="G7" i="7"/>
  <c r="F7" i="7"/>
  <c r="E7" i="7"/>
  <c r="D7" i="7"/>
  <c r="C7" i="7"/>
  <c r="B7" i="7"/>
  <c r="G4" i="7"/>
  <c r="F4" i="7"/>
  <c r="L75" i="6"/>
  <c r="I10" i="6"/>
  <c r="H10" i="6"/>
  <c r="G10" i="6"/>
  <c r="F10" i="6"/>
  <c r="D10" i="6"/>
  <c r="E10" i="6" s="1"/>
  <c r="C10" i="6"/>
  <c r="B10" i="6"/>
  <c r="G9" i="6"/>
  <c r="F9" i="6"/>
  <c r="G8" i="6"/>
  <c r="F8" i="6"/>
  <c r="I7" i="6"/>
  <c r="H7" i="6"/>
  <c r="G7" i="6"/>
  <c r="F7" i="6"/>
  <c r="D7" i="6"/>
  <c r="E7" i="6" s="1"/>
  <c r="C7" i="6"/>
  <c r="B7" i="6"/>
  <c r="G6" i="6"/>
  <c r="F6" i="6"/>
  <c r="G5" i="6"/>
  <c r="F5" i="6"/>
  <c r="I4" i="6"/>
  <c r="H4" i="6"/>
  <c r="G4" i="6"/>
  <c r="F4" i="6"/>
  <c r="L75" i="16"/>
  <c r="V22" i="16"/>
  <c r="V21" i="16"/>
  <c r="V20" i="16"/>
  <c r="U18" i="16"/>
  <c r="V18" i="16" s="1"/>
  <c r="X13" i="16"/>
  <c r="Z2" i="16"/>
  <c r="AA362" i="2"/>
  <c r="U362" i="2"/>
  <c r="W362" i="2" s="1"/>
  <c r="L362" i="2"/>
  <c r="H362" i="2"/>
  <c r="G362" i="2"/>
  <c r="C362" i="2"/>
  <c r="B362" i="2"/>
  <c r="AA361" i="2"/>
  <c r="U361" i="2"/>
  <c r="W361" i="2" s="1"/>
  <c r="L361" i="2"/>
  <c r="H361" i="2"/>
  <c r="G361" i="2"/>
  <c r="C361" i="2"/>
  <c r="B361" i="2"/>
  <c r="AA360" i="2"/>
  <c r="U360" i="2"/>
  <c r="W360" i="2" s="1"/>
  <c r="L360" i="2"/>
  <c r="H360" i="2"/>
  <c r="G360" i="2"/>
  <c r="C360" i="2"/>
  <c r="B360" i="2"/>
  <c r="AA359" i="2"/>
  <c r="U359" i="2"/>
  <c r="W359" i="2" s="1"/>
  <c r="L359" i="2"/>
  <c r="H359" i="2"/>
  <c r="G359" i="2"/>
  <c r="C359" i="2"/>
  <c r="B359" i="2"/>
  <c r="AA358" i="2"/>
  <c r="U358" i="2"/>
  <c r="W358" i="2" s="1"/>
  <c r="L358" i="2"/>
  <c r="H358" i="2"/>
  <c r="G358" i="2"/>
  <c r="C358" i="2"/>
  <c r="B358" i="2"/>
  <c r="AA357" i="2"/>
  <c r="U357" i="2"/>
  <c r="W357" i="2" s="1"/>
  <c r="L357" i="2"/>
  <c r="H357" i="2"/>
  <c r="G357" i="2"/>
  <c r="C357" i="2"/>
  <c r="B357" i="2"/>
  <c r="AA356" i="2"/>
  <c r="U356" i="2"/>
  <c r="W356" i="2" s="1"/>
  <c r="L356" i="2"/>
  <c r="H356" i="2"/>
  <c r="G356" i="2"/>
  <c r="C356" i="2"/>
  <c r="B356" i="2"/>
  <c r="AA355" i="2"/>
  <c r="U355" i="2"/>
  <c r="W355" i="2" s="1"/>
  <c r="L355" i="2"/>
  <c r="H355" i="2"/>
  <c r="G355" i="2"/>
  <c r="C355" i="2"/>
  <c r="B355" i="2"/>
  <c r="AA354" i="2"/>
  <c r="U354" i="2"/>
  <c r="W354" i="2" s="1"/>
  <c r="L354" i="2"/>
  <c r="H354" i="2"/>
  <c r="G354" i="2"/>
  <c r="C354" i="2"/>
  <c r="B354" i="2"/>
  <c r="AA353" i="2"/>
  <c r="U353" i="2"/>
  <c r="W353" i="2" s="1"/>
  <c r="L353" i="2"/>
  <c r="H353" i="2"/>
  <c r="G353" i="2"/>
  <c r="C353" i="2"/>
  <c r="B353" i="2"/>
  <c r="AA352" i="2"/>
  <c r="U352" i="2"/>
  <c r="W352" i="2" s="1"/>
  <c r="L352" i="2"/>
  <c r="H352" i="2"/>
  <c r="G352" i="2"/>
  <c r="C352" i="2"/>
  <c r="B352" i="2"/>
  <c r="AA351" i="2"/>
  <c r="U351" i="2"/>
  <c r="W351" i="2" s="1"/>
  <c r="L351" i="2"/>
  <c r="H351" i="2"/>
  <c r="G351" i="2"/>
  <c r="C351" i="2"/>
  <c r="B351" i="2"/>
  <c r="AA350" i="2"/>
  <c r="U350" i="2"/>
  <c r="W350" i="2" s="1"/>
  <c r="L350" i="2"/>
  <c r="H350" i="2"/>
  <c r="G350" i="2"/>
  <c r="C350" i="2"/>
  <c r="B350" i="2"/>
  <c r="AA349" i="2"/>
  <c r="U349" i="2"/>
  <c r="W349" i="2" s="1"/>
  <c r="L349" i="2"/>
  <c r="H349" i="2"/>
  <c r="G349" i="2"/>
  <c r="C349" i="2"/>
  <c r="B349" i="2"/>
  <c r="AA348" i="2"/>
  <c r="U348" i="2"/>
  <c r="W348" i="2" s="1"/>
  <c r="L348" i="2"/>
  <c r="H348" i="2"/>
  <c r="G348" i="2"/>
  <c r="C348" i="2"/>
  <c r="B348" i="2"/>
  <c r="AA347" i="2"/>
  <c r="U347" i="2"/>
  <c r="W347" i="2" s="1"/>
  <c r="L347" i="2"/>
  <c r="H347" i="2"/>
  <c r="G347" i="2"/>
  <c r="C347" i="2"/>
  <c r="B347" i="2"/>
  <c r="AA346" i="2"/>
  <c r="U346" i="2"/>
  <c r="W346" i="2" s="1"/>
  <c r="L346" i="2"/>
  <c r="H346" i="2"/>
  <c r="G346" i="2"/>
  <c r="C346" i="2"/>
  <c r="B346" i="2"/>
  <c r="AA345" i="2"/>
  <c r="U345" i="2"/>
  <c r="W345" i="2" s="1"/>
  <c r="L345" i="2"/>
  <c r="H345" i="2"/>
  <c r="G345" i="2"/>
  <c r="C345" i="2"/>
  <c r="B345" i="2"/>
  <c r="AA344" i="2"/>
  <c r="U344" i="2"/>
  <c r="W344" i="2" s="1"/>
  <c r="L344" i="2"/>
  <c r="H344" i="2"/>
  <c r="G344" i="2"/>
  <c r="C344" i="2"/>
  <c r="B344" i="2"/>
  <c r="AA343" i="2"/>
  <c r="U343" i="2"/>
  <c r="W343" i="2" s="1"/>
  <c r="L343" i="2"/>
  <c r="H343" i="2"/>
  <c r="G343" i="2"/>
  <c r="C343" i="2"/>
  <c r="B343" i="2"/>
  <c r="AA342" i="2"/>
  <c r="U342" i="2"/>
  <c r="W342" i="2" s="1"/>
  <c r="L342" i="2"/>
  <c r="H342" i="2"/>
  <c r="G342" i="2"/>
  <c r="C342" i="2"/>
  <c r="B342" i="2"/>
  <c r="AA341" i="2"/>
  <c r="U341" i="2"/>
  <c r="W341" i="2" s="1"/>
  <c r="L341" i="2"/>
  <c r="H341" i="2"/>
  <c r="G341" i="2"/>
  <c r="C341" i="2"/>
  <c r="B341" i="2"/>
  <c r="AA340" i="2"/>
  <c r="U340" i="2"/>
  <c r="W340" i="2" s="1"/>
  <c r="L340" i="2"/>
  <c r="H340" i="2"/>
  <c r="G340" i="2"/>
  <c r="C340" i="2"/>
  <c r="B340" i="2"/>
  <c r="AA339" i="2"/>
  <c r="U339" i="2"/>
  <c r="W339" i="2" s="1"/>
  <c r="L339" i="2"/>
  <c r="H339" i="2"/>
  <c r="G339" i="2"/>
  <c r="C339" i="2"/>
  <c r="B339" i="2"/>
  <c r="AA338" i="2"/>
  <c r="U338" i="2"/>
  <c r="W338" i="2" s="1"/>
  <c r="L338" i="2"/>
  <c r="H338" i="2"/>
  <c r="G338" i="2"/>
  <c r="C338" i="2"/>
  <c r="B338" i="2"/>
  <c r="AA337" i="2"/>
  <c r="U337" i="2"/>
  <c r="W337" i="2" s="1"/>
  <c r="L337" i="2"/>
  <c r="H337" i="2"/>
  <c r="G337" i="2"/>
  <c r="C337" i="2"/>
  <c r="B337" i="2"/>
  <c r="AA336" i="2"/>
  <c r="U336" i="2"/>
  <c r="W336" i="2" s="1"/>
  <c r="L336" i="2"/>
  <c r="H336" i="2"/>
  <c r="G336" i="2"/>
  <c r="C336" i="2"/>
  <c r="B336" i="2"/>
  <c r="AA335" i="2"/>
  <c r="U335" i="2"/>
  <c r="W335" i="2" s="1"/>
  <c r="L335" i="2"/>
  <c r="H335" i="2"/>
  <c r="G335" i="2"/>
  <c r="C335" i="2"/>
  <c r="B335" i="2"/>
  <c r="AA334" i="2"/>
  <c r="U334" i="2"/>
  <c r="W334" i="2" s="1"/>
  <c r="L334" i="2"/>
  <c r="H334" i="2"/>
  <c r="G334" i="2"/>
  <c r="C334" i="2"/>
  <c r="B334" i="2"/>
  <c r="AA333" i="2"/>
  <c r="U333" i="2"/>
  <c r="W333" i="2" s="1"/>
  <c r="L333" i="2"/>
  <c r="H333" i="2"/>
  <c r="G333" i="2"/>
  <c r="C333" i="2"/>
  <c r="B333" i="2"/>
  <c r="AA332" i="2"/>
  <c r="U332" i="2"/>
  <c r="W332" i="2" s="1"/>
  <c r="L332" i="2"/>
  <c r="H332" i="2"/>
  <c r="G332" i="2"/>
  <c r="C332" i="2"/>
  <c r="B332" i="2"/>
  <c r="AA331" i="2"/>
  <c r="U331" i="2"/>
  <c r="W331" i="2" s="1"/>
  <c r="L331" i="2"/>
  <c r="H331" i="2"/>
  <c r="G331" i="2"/>
  <c r="C331" i="2"/>
  <c r="B331" i="2"/>
  <c r="AA330" i="2"/>
  <c r="U330" i="2"/>
  <c r="W330" i="2" s="1"/>
  <c r="L330" i="2"/>
  <c r="H330" i="2"/>
  <c r="G330" i="2"/>
  <c r="C330" i="2"/>
  <c r="B330" i="2"/>
  <c r="AA329" i="2"/>
  <c r="U329" i="2"/>
  <c r="W329" i="2" s="1"/>
  <c r="L329" i="2"/>
  <c r="H329" i="2"/>
  <c r="G329" i="2"/>
  <c r="C329" i="2"/>
  <c r="B329" i="2"/>
  <c r="AA328" i="2"/>
  <c r="U328" i="2"/>
  <c r="W328" i="2" s="1"/>
  <c r="L328" i="2"/>
  <c r="H328" i="2"/>
  <c r="G328" i="2"/>
  <c r="C328" i="2"/>
  <c r="B328" i="2"/>
  <c r="AA327" i="2"/>
  <c r="U327" i="2"/>
  <c r="W327" i="2" s="1"/>
  <c r="L327" i="2"/>
  <c r="H327" i="2"/>
  <c r="G327" i="2"/>
  <c r="C327" i="2"/>
  <c r="B327" i="2"/>
  <c r="AA326" i="2"/>
  <c r="U326" i="2"/>
  <c r="W326" i="2" s="1"/>
  <c r="L326" i="2"/>
  <c r="H326" i="2"/>
  <c r="G326" i="2"/>
  <c r="C326" i="2"/>
  <c r="B326" i="2"/>
  <c r="AA325" i="2"/>
  <c r="U325" i="2"/>
  <c r="W325" i="2" s="1"/>
  <c r="L325" i="2"/>
  <c r="H325" i="2"/>
  <c r="G325" i="2"/>
  <c r="C325" i="2"/>
  <c r="B325" i="2"/>
  <c r="AA324" i="2"/>
  <c r="U324" i="2"/>
  <c r="W324" i="2" s="1"/>
  <c r="L324" i="2"/>
  <c r="H324" i="2"/>
  <c r="G324" i="2"/>
  <c r="C324" i="2"/>
  <c r="B324" i="2"/>
  <c r="AA323" i="2"/>
  <c r="U323" i="2"/>
  <c r="W323" i="2" s="1"/>
  <c r="L323" i="2"/>
  <c r="H323" i="2"/>
  <c r="G323" i="2"/>
  <c r="C323" i="2"/>
  <c r="B323" i="2"/>
  <c r="AA322" i="2"/>
  <c r="U322" i="2"/>
  <c r="W322" i="2" s="1"/>
  <c r="L322" i="2"/>
  <c r="H322" i="2"/>
  <c r="G322" i="2"/>
  <c r="C322" i="2"/>
  <c r="B322" i="2"/>
  <c r="AA321" i="2"/>
  <c r="U321" i="2"/>
  <c r="W321" i="2" s="1"/>
  <c r="L321" i="2"/>
  <c r="H321" i="2"/>
  <c r="G321" i="2"/>
  <c r="C321" i="2"/>
  <c r="B321" i="2"/>
  <c r="AA320" i="2"/>
  <c r="U320" i="2"/>
  <c r="W320" i="2" s="1"/>
  <c r="L320" i="2"/>
  <c r="H320" i="2"/>
  <c r="G320" i="2"/>
  <c r="C320" i="2"/>
  <c r="B320" i="2"/>
  <c r="AA319" i="2"/>
  <c r="U319" i="2"/>
  <c r="W319" i="2" s="1"/>
  <c r="L319" i="2"/>
  <c r="H319" i="2"/>
  <c r="G319" i="2"/>
  <c r="C319" i="2"/>
  <c r="B319" i="2"/>
  <c r="AA318" i="2"/>
  <c r="U318" i="2"/>
  <c r="W318" i="2" s="1"/>
  <c r="L318" i="2"/>
  <c r="H318" i="2"/>
  <c r="G318" i="2"/>
  <c r="C318" i="2"/>
  <c r="B318" i="2"/>
  <c r="AA317" i="2"/>
  <c r="U317" i="2"/>
  <c r="W317" i="2" s="1"/>
  <c r="L317" i="2"/>
  <c r="H317" i="2"/>
  <c r="G317" i="2"/>
  <c r="C317" i="2"/>
  <c r="B317" i="2"/>
  <c r="AA316" i="2"/>
  <c r="U316" i="2"/>
  <c r="W316" i="2" s="1"/>
  <c r="L316" i="2"/>
  <c r="H316" i="2"/>
  <c r="G316" i="2"/>
  <c r="C316" i="2"/>
  <c r="B316" i="2"/>
  <c r="AA315" i="2"/>
  <c r="U315" i="2"/>
  <c r="W315" i="2" s="1"/>
  <c r="L315" i="2"/>
  <c r="H315" i="2"/>
  <c r="G315" i="2"/>
  <c r="C315" i="2"/>
  <c r="B315" i="2"/>
  <c r="AA314" i="2"/>
  <c r="U314" i="2"/>
  <c r="W314" i="2" s="1"/>
  <c r="L314" i="2"/>
  <c r="H314" i="2"/>
  <c r="G314" i="2"/>
  <c r="C314" i="2"/>
  <c r="B314" i="2"/>
  <c r="AA313" i="2"/>
  <c r="U313" i="2"/>
  <c r="W313" i="2" s="1"/>
  <c r="L313" i="2"/>
  <c r="H313" i="2"/>
  <c r="G313" i="2"/>
  <c r="C313" i="2"/>
  <c r="B313" i="2"/>
  <c r="AA312" i="2"/>
  <c r="U312" i="2"/>
  <c r="W312" i="2" s="1"/>
  <c r="L312" i="2"/>
  <c r="H312" i="2"/>
  <c r="G312" i="2"/>
  <c r="C312" i="2"/>
  <c r="B312" i="2"/>
  <c r="AA311" i="2"/>
  <c r="U311" i="2"/>
  <c r="W311" i="2" s="1"/>
  <c r="L311" i="2"/>
  <c r="H311" i="2"/>
  <c r="G311" i="2"/>
  <c r="C311" i="2"/>
  <c r="B311" i="2"/>
  <c r="AA310" i="2"/>
  <c r="U310" i="2"/>
  <c r="W310" i="2" s="1"/>
  <c r="L310" i="2"/>
  <c r="H310" i="2"/>
  <c r="G310" i="2"/>
  <c r="C310" i="2"/>
  <c r="B310" i="2"/>
  <c r="AA309" i="2"/>
  <c r="U309" i="2"/>
  <c r="W309" i="2" s="1"/>
  <c r="L309" i="2"/>
  <c r="H309" i="2"/>
  <c r="G309" i="2"/>
  <c r="C309" i="2"/>
  <c r="B309" i="2"/>
  <c r="AA308" i="2"/>
  <c r="U308" i="2"/>
  <c r="W308" i="2" s="1"/>
  <c r="L308" i="2"/>
  <c r="H308" i="2"/>
  <c r="G308" i="2"/>
  <c r="C308" i="2"/>
  <c r="B308" i="2"/>
  <c r="AA307" i="2"/>
  <c r="U307" i="2"/>
  <c r="W307" i="2" s="1"/>
  <c r="L307" i="2"/>
  <c r="H307" i="2"/>
  <c r="G307" i="2"/>
  <c r="C307" i="2"/>
  <c r="B307" i="2"/>
  <c r="AA306" i="2"/>
  <c r="U306" i="2"/>
  <c r="W306" i="2" s="1"/>
  <c r="L306" i="2"/>
  <c r="H306" i="2"/>
  <c r="G306" i="2"/>
  <c r="C306" i="2"/>
  <c r="B306" i="2"/>
  <c r="AA305" i="2"/>
  <c r="U305" i="2"/>
  <c r="W305" i="2" s="1"/>
  <c r="L305" i="2"/>
  <c r="H305" i="2"/>
  <c r="G305" i="2"/>
  <c r="C305" i="2"/>
  <c r="B305" i="2"/>
  <c r="AA304" i="2"/>
  <c r="U304" i="2"/>
  <c r="W304" i="2" s="1"/>
  <c r="L304" i="2"/>
  <c r="H304" i="2"/>
  <c r="G304" i="2"/>
  <c r="C304" i="2"/>
  <c r="B304" i="2"/>
  <c r="AA303" i="2"/>
  <c r="U303" i="2"/>
  <c r="W303" i="2" s="1"/>
  <c r="L303" i="2"/>
  <c r="H303" i="2"/>
  <c r="G303" i="2"/>
  <c r="C303" i="2"/>
  <c r="B303" i="2"/>
  <c r="AA302" i="2"/>
  <c r="U302" i="2"/>
  <c r="W302" i="2" s="1"/>
  <c r="L302" i="2"/>
  <c r="H302" i="2"/>
  <c r="G302" i="2"/>
  <c r="C302" i="2"/>
  <c r="B302" i="2"/>
  <c r="AA301" i="2"/>
  <c r="U301" i="2"/>
  <c r="W301" i="2" s="1"/>
  <c r="L301" i="2"/>
  <c r="H301" i="2"/>
  <c r="G301" i="2"/>
  <c r="C301" i="2"/>
  <c r="B301" i="2"/>
  <c r="AA300" i="2"/>
  <c r="U300" i="2"/>
  <c r="W300" i="2" s="1"/>
  <c r="L300" i="2"/>
  <c r="H300" i="2"/>
  <c r="G300" i="2"/>
  <c r="C300" i="2"/>
  <c r="B300" i="2"/>
  <c r="AA299" i="2"/>
  <c r="U299" i="2"/>
  <c r="W299" i="2" s="1"/>
  <c r="L299" i="2"/>
  <c r="H299" i="2"/>
  <c r="G299" i="2"/>
  <c r="C299" i="2"/>
  <c r="B299" i="2"/>
  <c r="AA298" i="2"/>
  <c r="U298" i="2"/>
  <c r="W298" i="2" s="1"/>
  <c r="L298" i="2"/>
  <c r="H298" i="2"/>
  <c r="G298" i="2"/>
  <c r="C298" i="2"/>
  <c r="B298" i="2"/>
  <c r="AA297" i="2"/>
  <c r="U297" i="2"/>
  <c r="W297" i="2" s="1"/>
  <c r="L297" i="2"/>
  <c r="H297" i="2"/>
  <c r="G297" i="2"/>
  <c r="C297" i="2"/>
  <c r="B297" i="2"/>
  <c r="AA296" i="2"/>
  <c r="U296" i="2"/>
  <c r="W296" i="2" s="1"/>
  <c r="L296" i="2"/>
  <c r="H296" i="2"/>
  <c r="G296" i="2"/>
  <c r="C296" i="2"/>
  <c r="B296" i="2"/>
  <c r="AA295" i="2"/>
  <c r="U295" i="2"/>
  <c r="W295" i="2" s="1"/>
  <c r="L295" i="2"/>
  <c r="H295" i="2"/>
  <c r="G295" i="2"/>
  <c r="C295" i="2"/>
  <c r="B295" i="2"/>
  <c r="AA294" i="2"/>
  <c r="U294" i="2"/>
  <c r="W294" i="2" s="1"/>
  <c r="L294" i="2"/>
  <c r="H294" i="2"/>
  <c r="G294" i="2"/>
  <c r="C294" i="2"/>
  <c r="B294" i="2"/>
  <c r="AA293" i="2"/>
  <c r="U293" i="2"/>
  <c r="W293" i="2" s="1"/>
  <c r="L293" i="2"/>
  <c r="H293" i="2"/>
  <c r="G293" i="2"/>
  <c r="C293" i="2"/>
  <c r="B293" i="2"/>
  <c r="AA292" i="2"/>
  <c r="U292" i="2"/>
  <c r="W292" i="2" s="1"/>
  <c r="L292" i="2"/>
  <c r="H292" i="2"/>
  <c r="G292" i="2"/>
  <c r="C292" i="2"/>
  <c r="B292" i="2"/>
  <c r="AA291" i="2"/>
  <c r="U291" i="2"/>
  <c r="W291" i="2" s="1"/>
  <c r="L291" i="2"/>
  <c r="H291" i="2"/>
  <c r="G291" i="2"/>
  <c r="C291" i="2"/>
  <c r="B291" i="2"/>
  <c r="AA290" i="2"/>
  <c r="U290" i="2"/>
  <c r="W290" i="2" s="1"/>
  <c r="L290" i="2"/>
  <c r="H290" i="2"/>
  <c r="G290" i="2"/>
  <c r="C290" i="2"/>
  <c r="B290" i="2"/>
  <c r="AA289" i="2"/>
  <c r="U289" i="2"/>
  <c r="W289" i="2" s="1"/>
  <c r="L289" i="2"/>
  <c r="H289" i="2"/>
  <c r="G289" i="2"/>
  <c r="C289" i="2"/>
  <c r="B289" i="2"/>
  <c r="AA288" i="2"/>
  <c r="U288" i="2"/>
  <c r="W288" i="2" s="1"/>
  <c r="L288" i="2"/>
  <c r="H288" i="2"/>
  <c r="G288" i="2"/>
  <c r="C288" i="2"/>
  <c r="B288" i="2"/>
  <c r="AA287" i="2"/>
  <c r="U287" i="2"/>
  <c r="W287" i="2" s="1"/>
  <c r="L287" i="2"/>
  <c r="H287" i="2"/>
  <c r="G287" i="2"/>
  <c r="C287" i="2"/>
  <c r="B287" i="2"/>
  <c r="AA286" i="2"/>
  <c r="U286" i="2"/>
  <c r="W286" i="2" s="1"/>
  <c r="L286" i="2"/>
  <c r="H286" i="2"/>
  <c r="G286" i="2"/>
  <c r="C286" i="2"/>
  <c r="B286" i="2"/>
  <c r="AA285" i="2"/>
  <c r="U285" i="2"/>
  <c r="W285" i="2" s="1"/>
  <c r="L285" i="2"/>
  <c r="H285" i="2"/>
  <c r="G285" i="2"/>
  <c r="C285" i="2"/>
  <c r="B285" i="2"/>
  <c r="AA284" i="2"/>
  <c r="U284" i="2"/>
  <c r="W284" i="2" s="1"/>
  <c r="L284" i="2"/>
  <c r="H284" i="2"/>
  <c r="G284" i="2"/>
  <c r="C284" i="2"/>
  <c r="B284" i="2"/>
  <c r="AA283" i="2"/>
  <c r="U283" i="2"/>
  <c r="W283" i="2" s="1"/>
  <c r="L283" i="2"/>
  <c r="H283" i="2"/>
  <c r="G283" i="2"/>
  <c r="C283" i="2"/>
  <c r="B283" i="2"/>
  <c r="AA282" i="2"/>
  <c r="U282" i="2"/>
  <c r="W282" i="2" s="1"/>
  <c r="L282" i="2"/>
  <c r="H282" i="2"/>
  <c r="G282" i="2"/>
  <c r="C282" i="2"/>
  <c r="B282" i="2"/>
  <c r="AA281" i="2"/>
  <c r="U281" i="2"/>
  <c r="W281" i="2" s="1"/>
  <c r="L281" i="2"/>
  <c r="H281" i="2"/>
  <c r="G281" i="2"/>
  <c r="C281" i="2"/>
  <c r="B281" i="2"/>
  <c r="AA280" i="2"/>
  <c r="U280" i="2"/>
  <c r="W280" i="2" s="1"/>
  <c r="L280" i="2"/>
  <c r="H280" i="2"/>
  <c r="G280" i="2"/>
  <c r="C280" i="2"/>
  <c r="B280" i="2"/>
  <c r="AA279" i="2"/>
  <c r="U279" i="2"/>
  <c r="W279" i="2" s="1"/>
  <c r="L279" i="2"/>
  <c r="H279" i="2"/>
  <c r="G279" i="2"/>
  <c r="C279" i="2"/>
  <c r="B279" i="2"/>
  <c r="AA278" i="2"/>
  <c r="U278" i="2"/>
  <c r="W278" i="2" s="1"/>
  <c r="L278" i="2"/>
  <c r="H278" i="2"/>
  <c r="G278" i="2"/>
  <c r="C278" i="2"/>
  <c r="B278" i="2"/>
  <c r="AA277" i="2"/>
  <c r="U277" i="2"/>
  <c r="W277" i="2" s="1"/>
  <c r="L277" i="2"/>
  <c r="H277" i="2"/>
  <c r="G277" i="2"/>
  <c r="C277" i="2"/>
  <c r="B277" i="2"/>
  <c r="AA276" i="2"/>
  <c r="U276" i="2"/>
  <c r="W276" i="2" s="1"/>
  <c r="L276" i="2"/>
  <c r="H276" i="2"/>
  <c r="G276" i="2"/>
  <c r="C276" i="2"/>
  <c r="B276" i="2"/>
  <c r="AA275" i="2"/>
  <c r="U275" i="2"/>
  <c r="W275" i="2" s="1"/>
  <c r="L275" i="2"/>
  <c r="H275" i="2"/>
  <c r="G275" i="2"/>
  <c r="C275" i="2"/>
  <c r="B275" i="2"/>
  <c r="AA274" i="2"/>
  <c r="U274" i="2"/>
  <c r="W274" i="2" s="1"/>
  <c r="L274" i="2"/>
  <c r="H274" i="2"/>
  <c r="G274" i="2"/>
  <c r="C274" i="2"/>
  <c r="B274" i="2"/>
  <c r="AA273" i="2"/>
  <c r="U273" i="2"/>
  <c r="W273" i="2" s="1"/>
  <c r="L273" i="2"/>
  <c r="H273" i="2"/>
  <c r="G273" i="2"/>
  <c r="C273" i="2"/>
  <c r="B273" i="2"/>
  <c r="AA272" i="2"/>
  <c r="U272" i="2"/>
  <c r="W272" i="2" s="1"/>
  <c r="L272" i="2"/>
  <c r="H272" i="2"/>
  <c r="G272" i="2"/>
  <c r="C272" i="2"/>
  <c r="B272" i="2"/>
  <c r="AA271" i="2"/>
  <c r="U271" i="2"/>
  <c r="W271" i="2" s="1"/>
  <c r="L271" i="2"/>
  <c r="H271" i="2"/>
  <c r="G271" i="2"/>
  <c r="C271" i="2"/>
  <c r="B271" i="2"/>
  <c r="AA270" i="2"/>
  <c r="U270" i="2"/>
  <c r="W270" i="2" s="1"/>
  <c r="L270" i="2"/>
  <c r="H270" i="2"/>
  <c r="G270" i="2"/>
  <c r="C270" i="2"/>
  <c r="B270" i="2"/>
  <c r="AA269" i="2"/>
  <c r="U269" i="2"/>
  <c r="W269" i="2" s="1"/>
  <c r="L269" i="2"/>
  <c r="H269" i="2"/>
  <c r="G269" i="2"/>
  <c r="C269" i="2"/>
  <c r="B269" i="2"/>
  <c r="AA268" i="2"/>
  <c r="U268" i="2"/>
  <c r="W268" i="2" s="1"/>
  <c r="L268" i="2"/>
  <c r="H268" i="2"/>
  <c r="G268" i="2"/>
  <c r="C268" i="2"/>
  <c r="B268" i="2"/>
  <c r="AA267" i="2"/>
  <c r="U267" i="2"/>
  <c r="W267" i="2" s="1"/>
  <c r="L267" i="2"/>
  <c r="H267" i="2"/>
  <c r="G267" i="2"/>
  <c r="C267" i="2"/>
  <c r="B267" i="2"/>
  <c r="AA266" i="2"/>
  <c r="U266" i="2"/>
  <c r="W266" i="2" s="1"/>
  <c r="L266" i="2"/>
  <c r="H266" i="2"/>
  <c r="G266" i="2"/>
  <c r="C266" i="2"/>
  <c r="B266" i="2"/>
  <c r="AA265" i="2"/>
  <c r="U265" i="2"/>
  <c r="W265" i="2" s="1"/>
  <c r="L265" i="2"/>
  <c r="H265" i="2"/>
  <c r="G265" i="2"/>
  <c r="C265" i="2"/>
  <c r="B265" i="2"/>
  <c r="AA264" i="2"/>
  <c r="U264" i="2"/>
  <c r="W264" i="2" s="1"/>
  <c r="L264" i="2"/>
  <c r="H264" i="2"/>
  <c r="G264" i="2"/>
  <c r="C264" i="2"/>
  <c r="B264" i="2"/>
  <c r="AA263" i="2"/>
  <c r="U263" i="2"/>
  <c r="W263" i="2" s="1"/>
  <c r="L263" i="2"/>
  <c r="H263" i="2"/>
  <c r="G263" i="2"/>
  <c r="C263" i="2"/>
  <c r="B263" i="2"/>
  <c r="AA262" i="2"/>
  <c r="U262" i="2"/>
  <c r="W262" i="2" s="1"/>
  <c r="L262" i="2"/>
  <c r="H262" i="2"/>
  <c r="G262" i="2"/>
  <c r="C262" i="2"/>
  <c r="B262" i="2"/>
  <c r="AA261" i="2"/>
  <c r="U261" i="2"/>
  <c r="W261" i="2" s="1"/>
  <c r="L261" i="2"/>
  <c r="H261" i="2"/>
  <c r="G261" i="2"/>
  <c r="C261" i="2"/>
  <c r="B261" i="2"/>
  <c r="AA260" i="2"/>
  <c r="U260" i="2"/>
  <c r="W260" i="2" s="1"/>
  <c r="L260" i="2"/>
  <c r="H260" i="2"/>
  <c r="G260" i="2"/>
  <c r="C260" i="2"/>
  <c r="B260" i="2"/>
  <c r="AA259" i="2"/>
  <c r="U259" i="2"/>
  <c r="W259" i="2" s="1"/>
  <c r="L259" i="2"/>
  <c r="H259" i="2"/>
  <c r="G259" i="2"/>
  <c r="C259" i="2"/>
  <c r="B259" i="2"/>
  <c r="AA258" i="2"/>
  <c r="U258" i="2"/>
  <c r="W258" i="2" s="1"/>
  <c r="L258" i="2"/>
  <c r="H258" i="2"/>
  <c r="G258" i="2"/>
  <c r="C258" i="2"/>
  <c r="B258" i="2"/>
  <c r="AA257" i="2"/>
  <c r="U257" i="2"/>
  <c r="W257" i="2" s="1"/>
  <c r="L257" i="2"/>
  <c r="H257" i="2"/>
  <c r="G257" i="2"/>
  <c r="C257" i="2"/>
  <c r="B257" i="2"/>
  <c r="AA256" i="2"/>
  <c r="U256" i="2"/>
  <c r="W256" i="2" s="1"/>
  <c r="L256" i="2"/>
  <c r="H256" i="2"/>
  <c r="G256" i="2"/>
  <c r="C256" i="2"/>
  <c r="B256" i="2"/>
  <c r="AA255" i="2"/>
  <c r="U255" i="2"/>
  <c r="W255" i="2" s="1"/>
  <c r="L255" i="2"/>
  <c r="H255" i="2"/>
  <c r="G255" i="2"/>
  <c r="C255" i="2"/>
  <c r="B255" i="2"/>
  <c r="AA254" i="2"/>
  <c r="U254" i="2"/>
  <c r="W254" i="2" s="1"/>
  <c r="L254" i="2"/>
  <c r="H254" i="2"/>
  <c r="G254" i="2"/>
  <c r="C254" i="2"/>
  <c r="B254" i="2"/>
  <c r="AA253" i="2"/>
  <c r="U253" i="2"/>
  <c r="W253" i="2" s="1"/>
  <c r="L253" i="2"/>
  <c r="H253" i="2"/>
  <c r="G253" i="2"/>
  <c r="C253" i="2"/>
  <c r="B253" i="2"/>
  <c r="AA252" i="2"/>
  <c r="U252" i="2"/>
  <c r="W252" i="2" s="1"/>
  <c r="L252" i="2"/>
  <c r="H252" i="2"/>
  <c r="G252" i="2"/>
  <c r="C252" i="2"/>
  <c r="B252" i="2"/>
  <c r="AA251" i="2"/>
  <c r="U251" i="2"/>
  <c r="W251" i="2" s="1"/>
  <c r="L251" i="2"/>
  <c r="H251" i="2"/>
  <c r="G251" i="2"/>
  <c r="C251" i="2"/>
  <c r="B251" i="2"/>
  <c r="AA250" i="2"/>
  <c r="U250" i="2"/>
  <c r="W250" i="2" s="1"/>
  <c r="L250" i="2"/>
  <c r="H250" i="2"/>
  <c r="G250" i="2"/>
  <c r="C250" i="2"/>
  <c r="B250" i="2"/>
  <c r="AA249" i="2"/>
  <c r="U249" i="2"/>
  <c r="W249" i="2" s="1"/>
  <c r="L249" i="2"/>
  <c r="H249" i="2"/>
  <c r="G249" i="2"/>
  <c r="C249" i="2"/>
  <c r="B249" i="2"/>
  <c r="AA248" i="2"/>
  <c r="U248" i="2"/>
  <c r="W248" i="2" s="1"/>
  <c r="L248" i="2"/>
  <c r="H248" i="2"/>
  <c r="G248" i="2"/>
  <c r="C248" i="2"/>
  <c r="B248" i="2"/>
  <c r="AA247" i="2"/>
  <c r="U247" i="2"/>
  <c r="W247" i="2" s="1"/>
  <c r="L247" i="2"/>
  <c r="H247" i="2"/>
  <c r="G247" i="2"/>
  <c r="C247" i="2"/>
  <c r="B247" i="2"/>
  <c r="AA246" i="2"/>
  <c r="U246" i="2"/>
  <c r="W246" i="2" s="1"/>
  <c r="L246" i="2"/>
  <c r="H246" i="2"/>
  <c r="G246" i="2"/>
  <c r="C246" i="2"/>
  <c r="B246" i="2"/>
  <c r="AA245" i="2"/>
  <c r="U245" i="2"/>
  <c r="W245" i="2" s="1"/>
  <c r="L245" i="2"/>
  <c r="H245" i="2"/>
  <c r="G245" i="2"/>
  <c r="C245" i="2"/>
  <c r="B245" i="2"/>
  <c r="AA244" i="2"/>
  <c r="U244" i="2"/>
  <c r="W244" i="2" s="1"/>
  <c r="L244" i="2"/>
  <c r="H244" i="2"/>
  <c r="G244" i="2"/>
  <c r="C244" i="2"/>
  <c r="B244" i="2"/>
  <c r="AA243" i="2"/>
  <c r="U243" i="2"/>
  <c r="W243" i="2" s="1"/>
  <c r="L243" i="2"/>
  <c r="H243" i="2"/>
  <c r="G243" i="2"/>
  <c r="C243" i="2"/>
  <c r="B243" i="2"/>
  <c r="AA242" i="2"/>
  <c r="U242" i="2"/>
  <c r="W242" i="2" s="1"/>
  <c r="L242" i="2"/>
  <c r="H242" i="2"/>
  <c r="G242" i="2"/>
  <c r="C242" i="2"/>
  <c r="B242" i="2"/>
  <c r="AA241" i="2"/>
  <c r="U241" i="2"/>
  <c r="W241" i="2" s="1"/>
  <c r="L241" i="2"/>
  <c r="H241" i="2"/>
  <c r="G241" i="2"/>
  <c r="C241" i="2"/>
  <c r="B241" i="2"/>
  <c r="AA240" i="2"/>
  <c r="U240" i="2"/>
  <c r="W240" i="2" s="1"/>
  <c r="L240" i="2"/>
  <c r="H240" i="2"/>
  <c r="G240" i="2"/>
  <c r="C240" i="2"/>
  <c r="B240" i="2"/>
  <c r="AA239" i="2"/>
  <c r="U239" i="2"/>
  <c r="W239" i="2" s="1"/>
  <c r="L239" i="2"/>
  <c r="H239" i="2"/>
  <c r="G239" i="2"/>
  <c r="C239" i="2"/>
  <c r="B239" i="2"/>
  <c r="AA238" i="2"/>
  <c r="U238" i="2"/>
  <c r="W238" i="2" s="1"/>
  <c r="L238" i="2"/>
  <c r="H238" i="2"/>
  <c r="G238" i="2"/>
  <c r="C238" i="2"/>
  <c r="B238" i="2"/>
  <c r="AA237" i="2"/>
  <c r="U237" i="2"/>
  <c r="W237" i="2" s="1"/>
  <c r="L237" i="2"/>
  <c r="H237" i="2"/>
  <c r="G237" i="2"/>
  <c r="C237" i="2"/>
  <c r="B237" i="2"/>
  <c r="AA236" i="2"/>
  <c r="U236" i="2"/>
  <c r="W236" i="2" s="1"/>
  <c r="L236" i="2"/>
  <c r="H236" i="2"/>
  <c r="G236" i="2"/>
  <c r="C236" i="2"/>
  <c r="B236" i="2"/>
  <c r="AA235" i="2"/>
  <c r="U235" i="2"/>
  <c r="W235" i="2" s="1"/>
  <c r="L235" i="2"/>
  <c r="H235" i="2"/>
  <c r="G235" i="2"/>
  <c r="C235" i="2"/>
  <c r="B235" i="2"/>
  <c r="AA234" i="2"/>
  <c r="U234" i="2"/>
  <c r="W234" i="2" s="1"/>
  <c r="L234" i="2"/>
  <c r="H234" i="2"/>
  <c r="G234" i="2"/>
  <c r="C234" i="2"/>
  <c r="B234" i="2"/>
  <c r="AA233" i="2"/>
  <c r="U233" i="2"/>
  <c r="W233" i="2" s="1"/>
  <c r="L233" i="2"/>
  <c r="H233" i="2"/>
  <c r="G233" i="2"/>
  <c r="C233" i="2"/>
  <c r="B233" i="2"/>
  <c r="AA232" i="2"/>
  <c r="U232" i="2"/>
  <c r="W232" i="2" s="1"/>
  <c r="L232" i="2"/>
  <c r="H232" i="2"/>
  <c r="G232" i="2"/>
  <c r="C232" i="2"/>
  <c r="B232" i="2"/>
  <c r="AA231" i="2"/>
  <c r="U231" i="2"/>
  <c r="W231" i="2" s="1"/>
  <c r="L231" i="2"/>
  <c r="H231" i="2"/>
  <c r="G231" i="2"/>
  <c r="C231" i="2"/>
  <c r="B231" i="2"/>
  <c r="AA230" i="2"/>
  <c r="U230" i="2"/>
  <c r="W230" i="2" s="1"/>
  <c r="L230" i="2"/>
  <c r="H230" i="2"/>
  <c r="G230" i="2"/>
  <c r="C230" i="2"/>
  <c r="B230" i="2"/>
  <c r="AA229" i="2"/>
  <c r="U229" i="2"/>
  <c r="W229" i="2" s="1"/>
  <c r="L229" i="2"/>
  <c r="H229" i="2"/>
  <c r="G229" i="2"/>
  <c r="C229" i="2"/>
  <c r="B229" i="2"/>
  <c r="AA228" i="2"/>
  <c r="U228" i="2"/>
  <c r="W228" i="2" s="1"/>
  <c r="L228" i="2"/>
  <c r="H228" i="2"/>
  <c r="G228" i="2"/>
  <c r="C228" i="2"/>
  <c r="B228" i="2"/>
  <c r="AA227" i="2"/>
  <c r="U227" i="2"/>
  <c r="W227" i="2" s="1"/>
  <c r="L227" i="2"/>
  <c r="H227" i="2"/>
  <c r="G227" i="2"/>
  <c r="C227" i="2"/>
  <c r="B227" i="2"/>
  <c r="AA226" i="2"/>
  <c r="U226" i="2"/>
  <c r="W226" i="2" s="1"/>
  <c r="L226" i="2"/>
  <c r="H226" i="2"/>
  <c r="G226" i="2"/>
  <c r="C226" i="2"/>
  <c r="B226" i="2"/>
  <c r="AA225" i="2"/>
  <c r="U225" i="2"/>
  <c r="W225" i="2" s="1"/>
  <c r="L225" i="2"/>
  <c r="H225" i="2"/>
  <c r="G225" i="2"/>
  <c r="C225" i="2"/>
  <c r="B225" i="2"/>
  <c r="AA224" i="2"/>
  <c r="U224" i="2"/>
  <c r="W224" i="2" s="1"/>
  <c r="L224" i="2"/>
  <c r="H224" i="2"/>
  <c r="G224" i="2"/>
  <c r="C224" i="2"/>
  <c r="B224" i="2"/>
  <c r="AA223" i="2"/>
  <c r="U223" i="2"/>
  <c r="W223" i="2" s="1"/>
  <c r="L223" i="2"/>
  <c r="H223" i="2"/>
  <c r="G223" i="2"/>
  <c r="C223" i="2"/>
  <c r="B223" i="2"/>
  <c r="AA222" i="2"/>
  <c r="U222" i="2"/>
  <c r="W222" i="2" s="1"/>
  <c r="L222" i="2"/>
  <c r="H222" i="2"/>
  <c r="G222" i="2"/>
  <c r="C222" i="2"/>
  <c r="B222" i="2"/>
  <c r="AA221" i="2"/>
  <c r="U221" i="2"/>
  <c r="W221" i="2" s="1"/>
  <c r="L221" i="2"/>
  <c r="H221" i="2"/>
  <c r="G221" i="2"/>
  <c r="C221" i="2"/>
  <c r="B221" i="2"/>
  <c r="AA220" i="2"/>
  <c r="U220" i="2"/>
  <c r="W220" i="2" s="1"/>
  <c r="L220" i="2"/>
  <c r="H220" i="2"/>
  <c r="G220" i="2"/>
  <c r="C220" i="2"/>
  <c r="B220" i="2"/>
  <c r="AA219" i="2"/>
  <c r="U219" i="2"/>
  <c r="W219" i="2" s="1"/>
  <c r="L219" i="2"/>
  <c r="H219" i="2"/>
  <c r="G219" i="2"/>
  <c r="C219" i="2"/>
  <c r="B219" i="2"/>
  <c r="AA218" i="2"/>
  <c r="U218" i="2"/>
  <c r="W218" i="2" s="1"/>
  <c r="L218" i="2"/>
  <c r="H218" i="2"/>
  <c r="G218" i="2"/>
  <c r="C218" i="2"/>
  <c r="B218" i="2"/>
  <c r="AA217" i="2"/>
  <c r="U217" i="2"/>
  <c r="W217" i="2" s="1"/>
  <c r="L217" i="2"/>
  <c r="H217" i="2"/>
  <c r="G217" i="2"/>
  <c r="C217" i="2"/>
  <c r="B217" i="2"/>
  <c r="AA216" i="2"/>
  <c r="U216" i="2"/>
  <c r="W216" i="2" s="1"/>
  <c r="L216" i="2"/>
  <c r="H216" i="2"/>
  <c r="G216" i="2"/>
  <c r="C216" i="2"/>
  <c r="B216" i="2"/>
  <c r="AA215" i="2"/>
  <c r="U215" i="2"/>
  <c r="W215" i="2" s="1"/>
  <c r="L215" i="2"/>
  <c r="H215" i="2"/>
  <c r="G215" i="2"/>
  <c r="C215" i="2"/>
  <c r="B215" i="2"/>
  <c r="AA214" i="2"/>
  <c r="U214" i="2"/>
  <c r="W214" i="2" s="1"/>
  <c r="L214" i="2"/>
  <c r="H214" i="2"/>
  <c r="G214" i="2"/>
  <c r="C214" i="2"/>
  <c r="B214" i="2"/>
  <c r="AA213" i="2"/>
  <c r="U213" i="2"/>
  <c r="W213" i="2" s="1"/>
  <c r="L213" i="2"/>
  <c r="H213" i="2"/>
  <c r="G213" i="2"/>
  <c r="C213" i="2"/>
  <c r="B213" i="2"/>
  <c r="AA212" i="2"/>
  <c r="U212" i="2"/>
  <c r="W212" i="2" s="1"/>
  <c r="L212" i="2"/>
  <c r="H212" i="2"/>
  <c r="G212" i="2"/>
  <c r="C212" i="2"/>
  <c r="B212" i="2"/>
  <c r="AA211" i="2"/>
  <c r="U211" i="2"/>
  <c r="W211" i="2" s="1"/>
  <c r="L211" i="2"/>
  <c r="H211" i="2"/>
  <c r="G211" i="2"/>
  <c r="C211" i="2"/>
  <c r="B211" i="2"/>
  <c r="AA210" i="2"/>
  <c r="U210" i="2"/>
  <c r="W210" i="2" s="1"/>
  <c r="L210" i="2"/>
  <c r="H210" i="2"/>
  <c r="G210" i="2"/>
  <c r="C210" i="2"/>
  <c r="B210" i="2"/>
  <c r="AA209" i="2"/>
  <c r="U209" i="2"/>
  <c r="W209" i="2" s="1"/>
  <c r="L209" i="2"/>
  <c r="H209" i="2"/>
  <c r="G209" i="2"/>
  <c r="C209" i="2"/>
  <c r="B209" i="2"/>
  <c r="AA208" i="2"/>
  <c r="U208" i="2"/>
  <c r="W208" i="2" s="1"/>
  <c r="L208" i="2"/>
  <c r="H208" i="2"/>
  <c r="G208" i="2"/>
  <c r="C208" i="2"/>
  <c r="B208" i="2"/>
  <c r="AA207" i="2"/>
  <c r="U207" i="2"/>
  <c r="W207" i="2" s="1"/>
  <c r="L207" i="2"/>
  <c r="H207" i="2"/>
  <c r="G207" i="2"/>
  <c r="C207" i="2"/>
  <c r="B207" i="2"/>
  <c r="AA206" i="2"/>
  <c r="U206" i="2"/>
  <c r="W206" i="2" s="1"/>
  <c r="L206" i="2"/>
  <c r="H206" i="2"/>
  <c r="G206" i="2"/>
  <c r="C206" i="2"/>
  <c r="B206" i="2"/>
  <c r="AA205" i="2"/>
  <c r="U205" i="2"/>
  <c r="W205" i="2" s="1"/>
  <c r="L205" i="2"/>
  <c r="H205" i="2"/>
  <c r="G205" i="2"/>
  <c r="C205" i="2"/>
  <c r="B205" i="2"/>
  <c r="AA204" i="2"/>
  <c r="U204" i="2"/>
  <c r="W204" i="2" s="1"/>
  <c r="L204" i="2"/>
  <c r="H204" i="2"/>
  <c r="G204" i="2"/>
  <c r="C204" i="2"/>
  <c r="B204" i="2"/>
  <c r="AA203" i="2"/>
  <c r="U203" i="2"/>
  <c r="W203" i="2" s="1"/>
  <c r="L203" i="2"/>
  <c r="H203" i="2"/>
  <c r="G203" i="2"/>
  <c r="C203" i="2"/>
  <c r="B203" i="2"/>
  <c r="AA202" i="2"/>
  <c r="U202" i="2"/>
  <c r="W202" i="2" s="1"/>
  <c r="L202" i="2"/>
  <c r="H202" i="2"/>
  <c r="G202" i="2"/>
  <c r="C202" i="2"/>
  <c r="B202" i="2"/>
  <c r="AA201" i="2"/>
  <c r="U201" i="2"/>
  <c r="W201" i="2" s="1"/>
  <c r="L201" i="2"/>
  <c r="H201" i="2"/>
  <c r="G201" i="2"/>
  <c r="C201" i="2"/>
  <c r="B201" i="2"/>
  <c r="AA200" i="2"/>
  <c r="U200" i="2"/>
  <c r="W200" i="2" s="1"/>
  <c r="L200" i="2"/>
  <c r="H200" i="2"/>
  <c r="G200" i="2"/>
  <c r="C200" i="2"/>
  <c r="B200" i="2"/>
  <c r="AA199" i="2"/>
  <c r="U199" i="2"/>
  <c r="W199" i="2" s="1"/>
  <c r="L199" i="2"/>
  <c r="H199" i="2"/>
  <c r="G199" i="2"/>
  <c r="C199" i="2"/>
  <c r="B199" i="2"/>
  <c r="AA198" i="2"/>
  <c r="U198" i="2"/>
  <c r="W198" i="2" s="1"/>
  <c r="L198" i="2"/>
  <c r="H198" i="2"/>
  <c r="G198" i="2"/>
  <c r="C198" i="2"/>
  <c r="B198" i="2"/>
  <c r="AA197" i="2"/>
  <c r="U197" i="2"/>
  <c r="W197" i="2" s="1"/>
  <c r="L197" i="2"/>
  <c r="H197" i="2"/>
  <c r="G197" i="2"/>
  <c r="C197" i="2"/>
  <c r="B197" i="2"/>
  <c r="AA196" i="2"/>
  <c r="U196" i="2"/>
  <c r="W196" i="2" s="1"/>
  <c r="L196" i="2"/>
  <c r="H196" i="2"/>
  <c r="G196" i="2"/>
  <c r="C196" i="2"/>
  <c r="B196" i="2"/>
  <c r="AA195" i="2"/>
  <c r="U195" i="2"/>
  <c r="W195" i="2" s="1"/>
  <c r="L195" i="2"/>
  <c r="H195" i="2"/>
  <c r="G195" i="2"/>
  <c r="C195" i="2"/>
  <c r="B195" i="2"/>
  <c r="AA194" i="2"/>
  <c r="U194" i="2"/>
  <c r="W194" i="2" s="1"/>
  <c r="L194" i="2"/>
  <c r="H194" i="2"/>
  <c r="G194" i="2"/>
  <c r="C194" i="2"/>
  <c r="B194" i="2"/>
  <c r="AA193" i="2"/>
  <c r="U193" i="2"/>
  <c r="W193" i="2" s="1"/>
  <c r="L193" i="2"/>
  <c r="H193" i="2"/>
  <c r="G193" i="2"/>
  <c r="C193" i="2"/>
  <c r="B193" i="2"/>
  <c r="AA192" i="2"/>
  <c r="U192" i="2"/>
  <c r="W192" i="2" s="1"/>
  <c r="L192" i="2"/>
  <c r="H192" i="2"/>
  <c r="G192" i="2"/>
  <c r="C192" i="2"/>
  <c r="B192" i="2"/>
  <c r="AA191" i="2"/>
  <c r="U191" i="2"/>
  <c r="W191" i="2" s="1"/>
  <c r="L191" i="2"/>
  <c r="H191" i="2"/>
  <c r="G191" i="2"/>
  <c r="C191" i="2"/>
  <c r="B191" i="2"/>
  <c r="AA190" i="2"/>
  <c r="U190" i="2"/>
  <c r="W190" i="2" s="1"/>
  <c r="L190" i="2"/>
  <c r="H190" i="2"/>
  <c r="G190" i="2"/>
  <c r="C190" i="2"/>
  <c r="B190" i="2"/>
  <c r="AA189" i="2"/>
  <c r="U189" i="2"/>
  <c r="W189" i="2" s="1"/>
  <c r="L189" i="2"/>
  <c r="H189" i="2"/>
  <c r="G189" i="2"/>
  <c r="C189" i="2"/>
  <c r="B189" i="2"/>
  <c r="AA188" i="2"/>
  <c r="U188" i="2"/>
  <c r="W188" i="2" s="1"/>
  <c r="L188" i="2"/>
  <c r="H188" i="2"/>
  <c r="G188" i="2"/>
  <c r="C188" i="2"/>
  <c r="B188" i="2"/>
  <c r="AA187" i="2"/>
  <c r="U187" i="2"/>
  <c r="W187" i="2" s="1"/>
  <c r="L187" i="2"/>
  <c r="H187" i="2"/>
  <c r="G187" i="2"/>
  <c r="C187" i="2"/>
  <c r="B187" i="2"/>
  <c r="AA186" i="2"/>
  <c r="U186" i="2"/>
  <c r="W186" i="2" s="1"/>
  <c r="L186" i="2"/>
  <c r="H186" i="2"/>
  <c r="G186" i="2"/>
  <c r="C186" i="2"/>
  <c r="B186" i="2"/>
  <c r="AA185" i="2"/>
  <c r="U185" i="2"/>
  <c r="W185" i="2" s="1"/>
  <c r="L185" i="2"/>
  <c r="H185" i="2"/>
  <c r="G185" i="2"/>
  <c r="C185" i="2"/>
  <c r="B185" i="2"/>
  <c r="AA184" i="2"/>
  <c r="U184" i="2"/>
  <c r="W184" i="2" s="1"/>
  <c r="L184" i="2"/>
  <c r="H184" i="2"/>
  <c r="G184" i="2"/>
  <c r="C184" i="2"/>
  <c r="B184" i="2"/>
  <c r="AA183" i="2"/>
  <c r="U183" i="2"/>
  <c r="W183" i="2" s="1"/>
  <c r="L183" i="2"/>
  <c r="H183" i="2"/>
  <c r="G183" i="2"/>
  <c r="C183" i="2"/>
  <c r="B183" i="2"/>
  <c r="AA182" i="2"/>
  <c r="U182" i="2"/>
  <c r="W182" i="2" s="1"/>
  <c r="L182" i="2"/>
  <c r="H182" i="2"/>
  <c r="G182" i="2"/>
  <c r="C182" i="2"/>
  <c r="B182" i="2"/>
  <c r="AA181" i="2"/>
  <c r="U181" i="2"/>
  <c r="W181" i="2" s="1"/>
  <c r="L181" i="2"/>
  <c r="H181" i="2"/>
  <c r="G181" i="2"/>
  <c r="C181" i="2"/>
  <c r="B181" i="2"/>
  <c r="AA180" i="2"/>
  <c r="U180" i="2"/>
  <c r="W180" i="2" s="1"/>
  <c r="L180" i="2"/>
  <c r="H180" i="2"/>
  <c r="G180" i="2"/>
  <c r="C180" i="2"/>
  <c r="B180" i="2"/>
  <c r="AA179" i="2"/>
  <c r="U179" i="2"/>
  <c r="W179" i="2" s="1"/>
  <c r="L179" i="2"/>
  <c r="H179" i="2"/>
  <c r="G179" i="2"/>
  <c r="C179" i="2"/>
  <c r="B179" i="2"/>
  <c r="AA178" i="2"/>
  <c r="U178" i="2"/>
  <c r="W178" i="2" s="1"/>
  <c r="L178" i="2"/>
  <c r="H178" i="2"/>
  <c r="G178" i="2"/>
  <c r="C178" i="2"/>
  <c r="B178" i="2"/>
  <c r="AA177" i="2"/>
  <c r="U177" i="2"/>
  <c r="W177" i="2" s="1"/>
  <c r="L177" i="2"/>
  <c r="H177" i="2"/>
  <c r="G177" i="2"/>
  <c r="C177" i="2"/>
  <c r="B177" i="2"/>
  <c r="AA176" i="2"/>
  <c r="U176" i="2"/>
  <c r="W176" i="2" s="1"/>
  <c r="L176" i="2"/>
  <c r="H176" i="2"/>
  <c r="G176" i="2"/>
  <c r="C176" i="2"/>
  <c r="B176" i="2"/>
  <c r="AA175" i="2"/>
  <c r="U175" i="2"/>
  <c r="W175" i="2" s="1"/>
  <c r="L175" i="2"/>
  <c r="H175" i="2"/>
  <c r="G175" i="2"/>
  <c r="C175" i="2"/>
  <c r="B175" i="2"/>
  <c r="AA174" i="2"/>
  <c r="U174" i="2"/>
  <c r="W174" i="2" s="1"/>
  <c r="L174" i="2"/>
  <c r="H174" i="2"/>
  <c r="G174" i="2"/>
  <c r="C174" i="2"/>
  <c r="B174" i="2"/>
  <c r="AA173" i="2"/>
  <c r="U173" i="2"/>
  <c r="W173" i="2" s="1"/>
  <c r="L173" i="2"/>
  <c r="H173" i="2"/>
  <c r="G173" i="2"/>
  <c r="C173" i="2"/>
  <c r="B173" i="2"/>
  <c r="AA172" i="2"/>
  <c r="U172" i="2"/>
  <c r="W172" i="2" s="1"/>
  <c r="L172" i="2"/>
  <c r="H172" i="2"/>
  <c r="G172" i="2"/>
  <c r="C172" i="2"/>
  <c r="B172" i="2"/>
  <c r="AA171" i="2"/>
  <c r="U171" i="2"/>
  <c r="W171" i="2" s="1"/>
  <c r="L171" i="2"/>
  <c r="H171" i="2"/>
  <c r="G171" i="2"/>
  <c r="C171" i="2"/>
  <c r="B171" i="2"/>
  <c r="AA170" i="2"/>
  <c r="U170" i="2"/>
  <c r="W170" i="2" s="1"/>
  <c r="L170" i="2"/>
  <c r="H170" i="2"/>
  <c r="G170" i="2"/>
  <c r="C170" i="2"/>
  <c r="B170" i="2"/>
  <c r="AA169" i="2"/>
  <c r="U169" i="2"/>
  <c r="W169" i="2" s="1"/>
  <c r="L169" i="2"/>
  <c r="H169" i="2"/>
  <c r="G169" i="2"/>
  <c r="C169" i="2"/>
  <c r="B169" i="2"/>
  <c r="AA168" i="2"/>
  <c r="U168" i="2"/>
  <c r="W168" i="2" s="1"/>
  <c r="L168" i="2"/>
  <c r="H168" i="2"/>
  <c r="G168" i="2"/>
  <c r="C168" i="2"/>
  <c r="B168" i="2"/>
  <c r="AA167" i="2"/>
  <c r="U167" i="2"/>
  <c r="W167" i="2" s="1"/>
  <c r="L167" i="2"/>
  <c r="H167" i="2"/>
  <c r="G167" i="2"/>
  <c r="C167" i="2"/>
  <c r="B167" i="2"/>
  <c r="AA166" i="2"/>
  <c r="U166" i="2"/>
  <c r="W166" i="2" s="1"/>
  <c r="L166" i="2"/>
  <c r="H166" i="2"/>
  <c r="G166" i="2"/>
  <c r="C166" i="2"/>
  <c r="B166" i="2"/>
  <c r="AA165" i="2"/>
  <c r="U165" i="2"/>
  <c r="W165" i="2" s="1"/>
  <c r="L165" i="2"/>
  <c r="H165" i="2"/>
  <c r="G165" i="2"/>
  <c r="C165" i="2"/>
  <c r="B165" i="2"/>
  <c r="AA164" i="2"/>
  <c r="U164" i="2"/>
  <c r="W164" i="2" s="1"/>
  <c r="L164" i="2"/>
  <c r="H164" i="2"/>
  <c r="G164" i="2"/>
  <c r="C164" i="2"/>
  <c r="B164" i="2"/>
  <c r="AA163" i="2"/>
  <c r="U163" i="2"/>
  <c r="W163" i="2" s="1"/>
  <c r="L163" i="2"/>
  <c r="H163" i="2"/>
  <c r="G163" i="2"/>
  <c r="C163" i="2"/>
  <c r="B163" i="2"/>
  <c r="AA162" i="2"/>
  <c r="U162" i="2"/>
  <c r="W162" i="2" s="1"/>
  <c r="L162" i="2"/>
  <c r="H162" i="2"/>
  <c r="G162" i="2"/>
  <c r="C162" i="2"/>
  <c r="B162" i="2"/>
  <c r="AA161" i="2"/>
  <c r="U161" i="2"/>
  <c r="W161" i="2" s="1"/>
  <c r="L161" i="2"/>
  <c r="H161" i="2"/>
  <c r="G161" i="2"/>
  <c r="C161" i="2"/>
  <c r="B161" i="2"/>
  <c r="AA160" i="2"/>
  <c r="U160" i="2"/>
  <c r="W160" i="2" s="1"/>
  <c r="L160" i="2"/>
  <c r="H160" i="2"/>
  <c r="G160" i="2"/>
  <c r="C160" i="2"/>
  <c r="B160" i="2"/>
  <c r="AA159" i="2"/>
  <c r="U159" i="2"/>
  <c r="W159" i="2" s="1"/>
  <c r="L159" i="2"/>
  <c r="H159" i="2"/>
  <c r="G159" i="2"/>
  <c r="C159" i="2"/>
  <c r="B159" i="2"/>
  <c r="AA158" i="2"/>
  <c r="U158" i="2"/>
  <c r="W158" i="2" s="1"/>
  <c r="L158" i="2"/>
  <c r="H158" i="2"/>
  <c r="G158" i="2"/>
  <c r="C158" i="2"/>
  <c r="B158" i="2"/>
  <c r="AA157" i="2"/>
  <c r="U157" i="2"/>
  <c r="W157" i="2" s="1"/>
  <c r="L157" i="2"/>
  <c r="H157" i="2"/>
  <c r="G157" i="2"/>
  <c r="C157" i="2"/>
  <c r="B157" i="2"/>
  <c r="AA156" i="2"/>
  <c r="U156" i="2"/>
  <c r="W156" i="2" s="1"/>
  <c r="L156" i="2"/>
  <c r="H156" i="2"/>
  <c r="G156" i="2"/>
  <c r="C156" i="2"/>
  <c r="B156" i="2"/>
  <c r="AA155" i="2"/>
  <c r="U155" i="2"/>
  <c r="W155" i="2" s="1"/>
  <c r="L155" i="2"/>
  <c r="H155" i="2"/>
  <c r="G155" i="2"/>
  <c r="C155" i="2"/>
  <c r="B155" i="2"/>
  <c r="AA154" i="2"/>
  <c r="U154" i="2"/>
  <c r="W154" i="2" s="1"/>
  <c r="L154" i="2"/>
  <c r="H154" i="2"/>
  <c r="G154" i="2"/>
  <c r="C154" i="2"/>
  <c r="B154" i="2"/>
  <c r="AA153" i="2"/>
  <c r="U153" i="2"/>
  <c r="W153" i="2" s="1"/>
  <c r="L153" i="2"/>
  <c r="H153" i="2"/>
  <c r="G153" i="2"/>
  <c r="C153" i="2"/>
  <c r="B153" i="2"/>
  <c r="AA152" i="2"/>
  <c r="U152" i="2"/>
  <c r="W152" i="2" s="1"/>
  <c r="L152" i="2"/>
  <c r="H152" i="2"/>
  <c r="G152" i="2"/>
  <c r="C152" i="2"/>
  <c r="B152" i="2"/>
  <c r="AA151" i="2"/>
  <c r="U151" i="2"/>
  <c r="W151" i="2" s="1"/>
  <c r="L151" i="2"/>
  <c r="H151" i="2"/>
  <c r="G151" i="2"/>
  <c r="C151" i="2"/>
  <c r="B151" i="2"/>
  <c r="AA150" i="2"/>
  <c r="U150" i="2"/>
  <c r="W150" i="2" s="1"/>
  <c r="L150" i="2"/>
  <c r="H150" i="2"/>
  <c r="G150" i="2"/>
  <c r="C150" i="2"/>
  <c r="B150" i="2"/>
  <c r="AA149" i="2"/>
  <c r="U149" i="2"/>
  <c r="W149" i="2" s="1"/>
  <c r="L149" i="2"/>
  <c r="H149" i="2"/>
  <c r="G149" i="2"/>
  <c r="C149" i="2"/>
  <c r="B149" i="2"/>
  <c r="AA148" i="2"/>
  <c r="U148" i="2"/>
  <c r="W148" i="2" s="1"/>
  <c r="L148" i="2"/>
  <c r="H148" i="2"/>
  <c r="G148" i="2"/>
  <c r="C148" i="2"/>
  <c r="B148" i="2"/>
  <c r="AA147" i="2"/>
  <c r="U147" i="2"/>
  <c r="W147" i="2" s="1"/>
  <c r="L147" i="2"/>
  <c r="H147" i="2"/>
  <c r="G147" i="2"/>
  <c r="C147" i="2"/>
  <c r="B147" i="2"/>
  <c r="AA146" i="2"/>
  <c r="U146" i="2"/>
  <c r="W146" i="2" s="1"/>
  <c r="L146" i="2"/>
  <c r="H146" i="2"/>
  <c r="G146" i="2"/>
  <c r="C146" i="2"/>
  <c r="B146" i="2"/>
  <c r="AA145" i="2"/>
  <c r="U145" i="2"/>
  <c r="W145" i="2" s="1"/>
  <c r="L145" i="2"/>
  <c r="H145" i="2"/>
  <c r="G145" i="2"/>
  <c r="C145" i="2"/>
  <c r="B145" i="2"/>
  <c r="AA144" i="2"/>
  <c r="U144" i="2"/>
  <c r="W144" i="2" s="1"/>
  <c r="L144" i="2"/>
  <c r="H144" i="2"/>
  <c r="G144" i="2"/>
  <c r="C144" i="2"/>
  <c r="B144" i="2"/>
  <c r="AA143" i="2"/>
  <c r="U143" i="2"/>
  <c r="W143" i="2" s="1"/>
  <c r="L143" i="2"/>
  <c r="H143" i="2"/>
  <c r="G143" i="2"/>
  <c r="C143" i="2"/>
  <c r="B143" i="2"/>
  <c r="AA142" i="2"/>
  <c r="U142" i="2"/>
  <c r="W142" i="2" s="1"/>
  <c r="L142" i="2"/>
  <c r="H142" i="2"/>
  <c r="G142" i="2"/>
  <c r="C142" i="2"/>
  <c r="B142" i="2"/>
  <c r="AA141" i="2"/>
  <c r="U141" i="2"/>
  <c r="W141" i="2" s="1"/>
  <c r="L141" i="2"/>
  <c r="H141" i="2"/>
  <c r="G141" i="2"/>
  <c r="C141" i="2"/>
  <c r="B141" i="2"/>
  <c r="AA140" i="2"/>
  <c r="U140" i="2"/>
  <c r="W140" i="2" s="1"/>
  <c r="L140" i="2"/>
  <c r="H140" i="2"/>
  <c r="G140" i="2"/>
  <c r="C140" i="2"/>
  <c r="B140" i="2"/>
  <c r="AA139" i="2"/>
  <c r="U139" i="2"/>
  <c r="W139" i="2" s="1"/>
  <c r="L139" i="2"/>
  <c r="H139" i="2"/>
  <c r="G139" i="2"/>
  <c r="C139" i="2"/>
  <c r="B139" i="2"/>
  <c r="AA138" i="2"/>
  <c r="U138" i="2"/>
  <c r="W138" i="2" s="1"/>
  <c r="L138" i="2"/>
  <c r="H138" i="2"/>
  <c r="G138" i="2"/>
  <c r="C138" i="2"/>
  <c r="B138" i="2"/>
  <c r="AA137" i="2"/>
  <c r="U137" i="2"/>
  <c r="W137" i="2" s="1"/>
  <c r="L137" i="2"/>
  <c r="H137" i="2"/>
  <c r="G137" i="2"/>
  <c r="C137" i="2"/>
  <c r="B137" i="2"/>
  <c r="AA136" i="2"/>
  <c r="U136" i="2"/>
  <c r="W136" i="2" s="1"/>
  <c r="L136" i="2"/>
  <c r="H136" i="2"/>
  <c r="G136" i="2"/>
  <c r="C136" i="2"/>
  <c r="B136" i="2"/>
  <c r="AA135" i="2"/>
  <c r="U135" i="2"/>
  <c r="W135" i="2" s="1"/>
  <c r="L135" i="2"/>
  <c r="H135" i="2"/>
  <c r="G135" i="2"/>
  <c r="C135" i="2"/>
  <c r="B135" i="2"/>
  <c r="AA134" i="2"/>
  <c r="U134" i="2"/>
  <c r="W134" i="2" s="1"/>
  <c r="L134" i="2"/>
  <c r="H134" i="2"/>
  <c r="G134" i="2"/>
  <c r="C134" i="2"/>
  <c r="B134" i="2"/>
  <c r="AA133" i="2"/>
  <c r="U133" i="2"/>
  <c r="W133" i="2" s="1"/>
  <c r="L133" i="2"/>
  <c r="H133" i="2"/>
  <c r="G133" i="2"/>
  <c r="C133" i="2"/>
  <c r="B133" i="2"/>
  <c r="AA132" i="2"/>
  <c r="U132" i="2"/>
  <c r="W132" i="2" s="1"/>
  <c r="L132" i="2"/>
  <c r="H132" i="2"/>
  <c r="G132" i="2"/>
  <c r="C132" i="2"/>
  <c r="B132" i="2"/>
  <c r="AA131" i="2"/>
  <c r="U131" i="2"/>
  <c r="W131" i="2" s="1"/>
  <c r="L131" i="2"/>
  <c r="H131" i="2"/>
  <c r="G131" i="2"/>
  <c r="C131" i="2"/>
  <c r="B131" i="2"/>
  <c r="AA130" i="2"/>
  <c r="U130" i="2"/>
  <c r="W130" i="2" s="1"/>
  <c r="L130" i="2"/>
  <c r="H130" i="2"/>
  <c r="G130" i="2"/>
  <c r="C130" i="2"/>
  <c r="B130" i="2"/>
  <c r="AA129" i="2"/>
  <c r="U129" i="2"/>
  <c r="W129" i="2" s="1"/>
  <c r="L129" i="2"/>
  <c r="H129" i="2"/>
  <c r="G129" i="2"/>
  <c r="C129" i="2"/>
  <c r="B129" i="2"/>
  <c r="AA128" i="2"/>
  <c r="U128" i="2"/>
  <c r="W128" i="2" s="1"/>
  <c r="L128" i="2"/>
  <c r="H128" i="2"/>
  <c r="G128" i="2"/>
  <c r="C128" i="2"/>
  <c r="B128" i="2"/>
  <c r="AA127" i="2"/>
  <c r="U127" i="2"/>
  <c r="W127" i="2" s="1"/>
  <c r="L127" i="2"/>
  <c r="H127" i="2"/>
  <c r="G127" i="2"/>
  <c r="C127" i="2"/>
  <c r="B127" i="2"/>
  <c r="AA126" i="2"/>
  <c r="U126" i="2"/>
  <c r="W126" i="2" s="1"/>
  <c r="L126" i="2"/>
  <c r="H126" i="2"/>
  <c r="G126" i="2"/>
  <c r="C126" i="2"/>
  <c r="B126" i="2"/>
  <c r="AA125" i="2"/>
  <c r="U125" i="2"/>
  <c r="W125" i="2" s="1"/>
  <c r="L125" i="2"/>
  <c r="H125" i="2"/>
  <c r="G125" i="2"/>
  <c r="C125" i="2"/>
  <c r="B125" i="2"/>
  <c r="AA124" i="2"/>
  <c r="U124" i="2"/>
  <c r="W124" i="2" s="1"/>
  <c r="L124" i="2"/>
  <c r="H124" i="2"/>
  <c r="G124" i="2"/>
  <c r="C124" i="2"/>
  <c r="B124" i="2"/>
  <c r="AA123" i="2"/>
  <c r="U123" i="2"/>
  <c r="W123" i="2" s="1"/>
  <c r="L123" i="2"/>
  <c r="H123" i="2"/>
  <c r="G123" i="2"/>
  <c r="C123" i="2"/>
  <c r="B123" i="2"/>
  <c r="AA122" i="2"/>
  <c r="U122" i="2"/>
  <c r="W122" i="2" s="1"/>
  <c r="L122" i="2"/>
  <c r="H122" i="2"/>
  <c r="G122" i="2"/>
  <c r="C122" i="2"/>
  <c r="B122" i="2"/>
  <c r="AA121" i="2"/>
  <c r="U121" i="2"/>
  <c r="W121" i="2" s="1"/>
  <c r="L121" i="2"/>
  <c r="H121" i="2"/>
  <c r="G121" i="2"/>
  <c r="C121" i="2"/>
  <c r="B121" i="2"/>
  <c r="AA120" i="2"/>
  <c r="U120" i="2"/>
  <c r="W120" i="2" s="1"/>
  <c r="L120" i="2"/>
  <c r="H120" i="2"/>
  <c r="G120" i="2"/>
  <c r="C120" i="2"/>
  <c r="B120" i="2"/>
  <c r="AA119" i="2"/>
  <c r="U119" i="2"/>
  <c r="W119" i="2" s="1"/>
  <c r="L119" i="2"/>
  <c r="H119" i="2"/>
  <c r="G119" i="2"/>
  <c r="C119" i="2"/>
  <c r="B119" i="2"/>
  <c r="AA118" i="2"/>
  <c r="U118" i="2"/>
  <c r="W118" i="2" s="1"/>
  <c r="L118" i="2"/>
  <c r="H118" i="2"/>
  <c r="G118" i="2"/>
  <c r="C118" i="2"/>
  <c r="B118" i="2"/>
  <c r="AA117" i="2"/>
  <c r="U117" i="2"/>
  <c r="W117" i="2" s="1"/>
  <c r="L117" i="2"/>
  <c r="H117" i="2"/>
  <c r="G117" i="2"/>
  <c r="C117" i="2"/>
  <c r="B117" i="2"/>
  <c r="AA116" i="2"/>
  <c r="U116" i="2"/>
  <c r="W116" i="2" s="1"/>
  <c r="L116" i="2"/>
  <c r="H116" i="2"/>
  <c r="G116" i="2"/>
  <c r="C116" i="2"/>
  <c r="B116" i="2"/>
  <c r="AA115" i="2"/>
  <c r="U115" i="2"/>
  <c r="W115" i="2" s="1"/>
  <c r="L115" i="2"/>
  <c r="H115" i="2"/>
  <c r="G115" i="2"/>
  <c r="C115" i="2"/>
  <c r="B115" i="2"/>
  <c r="AA114" i="2"/>
  <c r="U114" i="2"/>
  <c r="W114" i="2" s="1"/>
  <c r="L114" i="2"/>
  <c r="H114" i="2"/>
  <c r="G114" i="2"/>
  <c r="C114" i="2"/>
  <c r="B114" i="2"/>
  <c r="AA113" i="2"/>
  <c r="U113" i="2"/>
  <c r="W113" i="2" s="1"/>
  <c r="L113" i="2"/>
  <c r="H113" i="2"/>
  <c r="G113" i="2"/>
  <c r="C113" i="2"/>
  <c r="B113" i="2"/>
  <c r="AA112" i="2"/>
  <c r="U112" i="2"/>
  <c r="W112" i="2" s="1"/>
  <c r="L112" i="2"/>
  <c r="H112" i="2"/>
  <c r="G112" i="2"/>
  <c r="C112" i="2"/>
  <c r="B112" i="2"/>
  <c r="AA111" i="2"/>
  <c r="U111" i="2"/>
  <c r="W111" i="2" s="1"/>
  <c r="L111" i="2"/>
  <c r="H111" i="2"/>
  <c r="G111" i="2"/>
  <c r="C111" i="2"/>
  <c r="B111" i="2"/>
  <c r="AA110" i="2"/>
  <c r="U110" i="2"/>
  <c r="W110" i="2" s="1"/>
  <c r="L110" i="2"/>
  <c r="H110" i="2"/>
  <c r="G110" i="2"/>
  <c r="C110" i="2"/>
  <c r="B110" i="2"/>
  <c r="AA109" i="2"/>
  <c r="U109" i="2"/>
  <c r="W109" i="2" s="1"/>
  <c r="L109" i="2"/>
  <c r="H109" i="2"/>
  <c r="G109" i="2"/>
  <c r="C109" i="2"/>
  <c r="B109" i="2"/>
  <c r="AA108" i="2"/>
  <c r="U108" i="2"/>
  <c r="W108" i="2" s="1"/>
  <c r="L108" i="2"/>
  <c r="H108" i="2"/>
  <c r="G108" i="2"/>
  <c r="C108" i="2"/>
  <c r="B108" i="2"/>
  <c r="AA107" i="2"/>
  <c r="U107" i="2"/>
  <c r="W107" i="2" s="1"/>
  <c r="L107" i="2"/>
  <c r="H107" i="2"/>
  <c r="G107" i="2"/>
  <c r="C107" i="2"/>
  <c r="B107" i="2"/>
  <c r="AA106" i="2"/>
  <c r="U106" i="2"/>
  <c r="W106" i="2" s="1"/>
  <c r="L106" i="2"/>
  <c r="H106" i="2"/>
  <c r="G106" i="2"/>
  <c r="C106" i="2"/>
  <c r="B106" i="2"/>
  <c r="AA105" i="2"/>
  <c r="U105" i="2"/>
  <c r="W105" i="2" s="1"/>
  <c r="L105" i="2"/>
  <c r="H105" i="2"/>
  <c r="G105" i="2"/>
  <c r="C105" i="2"/>
  <c r="B105" i="2"/>
  <c r="AA104" i="2"/>
  <c r="U104" i="2"/>
  <c r="W104" i="2" s="1"/>
  <c r="L104" i="2"/>
  <c r="H104" i="2"/>
  <c r="G104" i="2"/>
  <c r="C104" i="2"/>
  <c r="B104" i="2"/>
  <c r="AA103" i="2"/>
  <c r="U103" i="2"/>
  <c r="W103" i="2" s="1"/>
  <c r="L103" i="2"/>
  <c r="H103" i="2"/>
  <c r="G103" i="2"/>
  <c r="C103" i="2"/>
  <c r="B103" i="2"/>
  <c r="AA102" i="2"/>
  <c r="U102" i="2"/>
  <c r="W102" i="2" s="1"/>
  <c r="L102" i="2"/>
  <c r="H102" i="2"/>
  <c r="G102" i="2"/>
  <c r="C102" i="2"/>
  <c r="B102" i="2"/>
  <c r="AA101" i="2"/>
  <c r="U101" i="2"/>
  <c r="W101" i="2" s="1"/>
  <c r="L101" i="2"/>
  <c r="H101" i="2"/>
  <c r="G101" i="2"/>
  <c r="C101" i="2"/>
  <c r="B101" i="2"/>
  <c r="AA100" i="2"/>
  <c r="U100" i="2"/>
  <c r="W100" i="2" s="1"/>
  <c r="L100" i="2"/>
  <c r="H100" i="2"/>
  <c r="G100" i="2"/>
  <c r="C100" i="2"/>
  <c r="B100" i="2"/>
  <c r="AA99" i="2"/>
  <c r="U99" i="2"/>
  <c r="W99" i="2" s="1"/>
  <c r="L99" i="2"/>
  <c r="H99" i="2"/>
  <c r="G99" i="2"/>
  <c r="C99" i="2"/>
  <c r="B99" i="2"/>
  <c r="AA98" i="2"/>
  <c r="U98" i="2"/>
  <c r="W98" i="2" s="1"/>
  <c r="L98" i="2"/>
  <c r="H98" i="2"/>
  <c r="G98" i="2"/>
  <c r="C98" i="2"/>
  <c r="B98" i="2"/>
  <c r="AA97" i="2"/>
  <c r="U97" i="2"/>
  <c r="W97" i="2" s="1"/>
  <c r="L97" i="2"/>
  <c r="H97" i="2"/>
  <c r="G97" i="2"/>
  <c r="C97" i="2"/>
  <c r="B97" i="2"/>
  <c r="AA96" i="2"/>
  <c r="U96" i="2"/>
  <c r="W96" i="2" s="1"/>
  <c r="L96" i="2"/>
  <c r="H96" i="2"/>
  <c r="G96" i="2"/>
  <c r="C96" i="2"/>
  <c r="B96" i="2"/>
  <c r="AA95" i="2"/>
  <c r="U95" i="2"/>
  <c r="W95" i="2" s="1"/>
  <c r="L95" i="2"/>
  <c r="H95" i="2"/>
  <c r="G95" i="2"/>
  <c r="C95" i="2"/>
  <c r="B95" i="2"/>
  <c r="AA94" i="2"/>
  <c r="U94" i="2"/>
  <c r="W94" i="2" s="1"/>
  <c r="L94" i="2"/>
  <c r="H94" i="2"/>
  <c r="G94" i="2"/>
  <c r="C94" i="2"/>
  <c r="B94" i="2"/>
  <c r="AA93" i="2"/>
  <c r="U93" i="2"/>
  <c r="W93" i="2" s="1"/>
  <c r="L93" i="2"/>
  <c r="H93" i="2"/>
  <c r="G93" i="2"/>
  <c r="C93" i="2"/>
  <c r="B93" i="2"/>
  <c r="AA92" i="2"/>
  <c r="U92" i="2"/>
  <c r="W92" i="2" s="1"/>
  <c r="L92" i="2"/>
  <c r="H92" i="2"/>
  <c r="G92" i="2"/>
  <c r="C92" i="2"/>
  <c r="B92" i="2"/>
  <c r="AA91" i="2"/>
  <c r="U91" i="2"/>
  <c r="W91" i="2" s="1"/>
  <c r="L91" i="2"/>
  <c r="H91" i="2"/>
  <c r="G91" i="2"/>
  <c r="C91" i="2"/>
  <c r="B91" i="2"/>
  <c r="AA90" i="2"/>
  <c r="U90" i="2"/>
  <c r="W90" i="2" s="1"/>
  <c r="L90" i="2"/>
  <c r="H90" i="2"/>
  <c r="G90" i="2"/>
  <c r="C90" i="2"/>
  <c r="B90" i="2"/>
  <c r="AA89" i="2"/>
  <c r="U89" i="2"/>
  <c r="W89" i="2" s="1"/>
  <c r="L89" i="2"/>
  <c r="H89" i="2"/>
  <c r="G89" i="2"/>
  <c r="C89" i="2"/>
  <c r="B89" i="2"/>
  <c r="AA88" i="2"/>
  <c r="U88" i="2"/>
  <c r="W88" i="2" s="1"/>
  <c r="L88" i="2"/>
  <c r="H88" i="2"/>
  <c r="G88" i="2"/>
  <c r="C88" i="2"/>
  <c r="B88" i="2"/>
  <c r="AA87" i="2"/>
  <c r="U87" i="2"/>
  <c r="W87" i="2" s="1"/>
  <c r="L87" i="2"/>
  <c r="H87" i="2"/>
  <c r="G87" i="2"/>
  <c r="C87" i="2"/>
  <c r="B87" i="2"/>
  <c r="AA86" i="2"/>
  <c r="U86" i="2"/>
  <c r="W86" i="2" s="1"/>
  <c r="L86" i="2"/>
  <c r="H86" i="2"/>
  <c r="G86" i="2"/>
  <c r="C86" i="2"/>
  <c r="B86" i="2"/>
  <c r="AA85" i="2"/>
  <c r="U85" i="2"/>
  <c r="W85" i="2" s="1"/>
  <c r="L85" i="2"/>
  <c r="H85" i="2"/>
  <c r="G85" i="2"/>
  <c r="C85" i="2"/>
  <c r="B85" i="2"/>
  <c r="AA84" i="2"/>
  <c r="U84" i="2"/>
  <c r="W84" i="2" s="1"/>
  <c r="L84" i="2"/>
  <c r="H84" i="2"/>
  <c r="G84" i="2"/>
  <c r="C84" i="2"/>
  <c r="B84" i="2"/>
  <c r="AA83" i="2"/>
  <c r="U83" i="2"/>
  <c r="W83" i="2" s="1"/>
  <c r="L83" i="2"/>
  <c r="H83" i="2"/>
  <c r="G83" i="2"/>
  <c r="C83" i="2"/>
  <c r="B83" i="2"/>
  <c r="AA82" i="2"/>
  <c r="U82" i="2"/>
  <c r="W82" i="2" s="1"/>
  <c r="L82" i="2"/>
  <c r="H82" i="2"/>
  <c r="G82" i="2"/>
  <c r="C82" i="2"/>
  <c r="B82" i="2"/>
  <c r="AA81" i="2"/>
  <c r="U81" i="2"/>
  <c r="W81" i="2" s="1"/>
  <c r="L81" i="2"/>
  <c r="H81" i="2"/>
  <c r="G81" i="2"/>
  <c r="C81" i="2"/>
  <c r="B81" i="2"/>
  <c r="AA80" i="2"/>
  <c r="U80" i="2"/>
  <c r="W80" i="2" s="1"/>
  <c r="L80" i="2"/>
  <c r="H80" i="2"/>
  <c r="G80" i="2"/>
  <c r="C80" i="2"/>
  <c r="B80" i="2"/>
  <c r="AA79" i="2"/>
  <c r="U79" i="2"/>
  <c r="W79" i="2" s="1"/>
  <c r="L79" i="2"/>
  <c r="H79" i="2"/>
  <c r="G79" i="2"/>
  <c r="C79" i="2"/>
  <c r="B79" i="2"/>
  <c r="AA78" i="2"/>
  <c r="U78" i="2"/>
  <c r="W78" i="2" s="1"/>
  <c r="L78" i="2"/>
  <c r="H78" i="2"/>
  <c r="G78" i="2"/>
  <c r="C78" i="2"/>
  <c r="B78" i="2"/>
  <c r="AA77" i="2"/>
  <c r="U77" i="2"/>
  <c r="W77" i="2" s="1"/>
  <c r="L77" i="2"/>
  <c r="H77" i="2"/>
  <c r="G77" i="2"/>
  <c r="C77" i="2"/>
  <c r="B77" i="2"/>
  <c r="AA76" i="2"/>
  <c r="U76" i="2"/>
  <c r="W76" i="2" s="1"/>
  <c r="L76" i="2"/>
  <c r="H76" i="2"/>
  <c r="G76" i="2"/>
  <c r="C76" i="2"/>
  <c r="B76" i="2"/>
  <c r="AA75" i="2"/>
  <c r="U75" i="2"/>
  <c r="W75" i="2" s="1"/>
  <c r="L75" i="2"/>
  <c r="H75" i="2"/>
  <c r="G75" i="2"/>
  <c r="C75" i="2"/>
  <c r="B75" i="2"/>
  <c r="AA74" i="2"/>
  <c r="U74" i="2"/>
  <c r="W74" i="2" s="1"/>
  <c r="L74" i="2"/>
  <c r="H74" i="2"/>
  <c r="G74" i="2"/>
  <c r="C74" i="2"/>
  <c r="B74" i="2"/>
  <c r="AA73" i="2"/>
  <c r="U73" i="2"/>
  <c r="W73" i="2" s="1"/>
  <c r="L73" i="2"/>
  <c r="H73" i="2"/>
  <c r="G73" i="2"/>
  <c r="C73" i="2"/>
  <c r="B73" i="2"/>
  <c r="AA72" i="2"/>
  <c r="U72" i="2"/>
  <c r="W72" i="2" s="1"/>
  <c r="L72" i="2"/>
  <c r="H72" i="2"/>
  <c r="G72" i="2"/>
  <c r="C72" i="2"/>
  <c r="B72" i="2"/>
  <c r="AD71" i="2"/>
  <c r="AA71" i="2"/>
  <c r="U71" i="2"/>
  <c r="W71" i="2" s="1"/>
  <c r="L71" i="2"/>
  <c r="H71" i="2"/>
  <c r="G71" i="2"/>
  <c r="C71" i="2"/>
  <c r="B71" i="2"/>
  <c r="AD70" i="2"/>
  <c r="AA70" i="2"/>
  <c r="U70" i="2"/>
  <c r="W70" i="2" s="1"/>
  <c r="L70" i="2"/>
  <c r="H70" i="2"/>
  <c r="G70" i="2"/>
  <c r="C70" i="2"/>
  <c r="B70" i="2"/>
  <c r="AD69" i="2"/>
  <c r="AA69" i="2"/>
  <c r="U69" i="2"/>
  <c r="W69" i="2" s="1"/>
  <c r="L69" i="2"/>
  <c r="H69" i="2"/>
  <c r="G69" i="2"/>
  <c r="C69" i="2"/>
  <c r="B69" i="2"/>
  <c r="AD68" i="2"/>
  <c r="AA68" i="2"/>
  <c r="U68" i="2"/>
  <c r="W68" i="2" s="1"/>
  <c r="L68" i="2"/>
  <c r="H68" i="2"/>
  <c r="G68" i="2"/>
  <c r="C68" i="2"/>
  <c r="B68" i="2"/>
  <c r="AD67" i="2"/>
  <c r="AA67" i="2"/>
  <c r="U67" i="2"/>
  <c r="W67" i="2" s="1"/>
  <c r="L67" i="2"/>
  <c r="H67" i="2"/>
  <c r="G67" i="2"/>
  <c r="C67" i="2"/>
  <c r="B67" i="2"/>
  <c r="AD66" i="2"/>
  <c r="AA66" i="2"/>
  <c r="U66" i="2"/>
  <c r="W66" i="2" s="1"/>
  <c r="L66" i="2"/>
  <c r="H66" i="2"/>
  <c r="G66" i="2"/>
  <c r="C66" i="2"/>
  <c r="B66" i="2"/>
  <c r="AD65" i="2"/>
  <c r="AA65" i="2"/>
  <c r="W65" i="2"/>
  <c r="U65" i="2"/>
  <c r="L65" i="2"/>
  <c r="H65" i="2"/>
  <c r="G65" i="2"/>
  <c r="C65" i="2"/>
  <c r="B65" i="2"/>
  <c r="AD64" i="2"/>
  <c r="AA64" i="2"/>
  <c r="U64" i="2"/>
  <c r="W64" i="2" s="1"/>
  <c r="L64" i="2"/>
  <c r="H64" i="2"/>
  <c r="G64" i="2"/>
  <c r="C64" i="2"/>
  <c r="B64" i="2"/>
  <c r="AD63" i="2"/>
  <c r="AA63" i="2"/>
  <c r="U63" i="2"/>
  <c r="W63" i="2" s="1"/>
  <c r="L63" i="2"/>
  <c r="H63" i="2"/>
  <c r="G63" i="2"/>
  <c r="C63" i="2"/>
  <c r="B63" i="2"/>
  <c r="AD62" i="2"/>
  <c r="AA62" i="2"/>
  <c r="U62" i="2"/>
  <c r="W62" i="2" s="1"/>
  <c r="L62" i="2"/>
  <c r="H62" i="2"/>
  <c r="G62" i="2"/>
  <c r="C62" i="2"/>
  <c r="B62" i="2"/>
  <c r="AD61" i="2"/>
  <c r="AA61" i="2"/>
  <c r="U61" i="2"/>
  <c r="W61" i="2" s="1"/>
  <c r="L61" i="2"/>
  <c r="H61" i="2"/>
  <c r="G61" i="2"/>
  <c r="C61" i="2"/>
  <c r="B61" i="2"/>
  <c r="AD60" i="2"/>
  <c r="AA60" i="2"/>
  <c r="U60" i="2"/>
  <c r="W60" i="2" s="1"/>
  <c r="L60" i="2"/>
  <c r="H60" i="2"/>
  <c r="G60" i="2"/>
  <c r="C60" i="2"/>
  <c r="B60" i="2"/>
  <c r="AD59" i="2"/>
  <c r="AA59" i="2"/>
  <c r="U59" i="2"/>
  <c r="W59" i="2" s="1"/>
  <c r="L59" i="2"/>
  <c r="H59" i="2"/>
  <c r="G59" i="2"/>
  <c r="C59" i="2"/>
  <c r="B59" i="2"/>
  <c r="AD58" i="2"/>
  <c r="AA58" i="2"/>
  <c r="U58" i="2"/>
  <c r="W58" i="2" s="1"/>
  <c r="L58" i="2"/>
  <c r="H58" i="2"/>
  <c r="G58" i="2"/>
  <c r="C58" i="2"/>
  <c r="B58" i="2"/>
  <c r="AD57" i="2"/>
  <c r="AA57" i="2"/>
  <c r="W57" i="2"/>
  <c r="U57" i="2"/>
  <c r="L57" i="2"/>
  <c r="H57" i="2"/>
  <c r="G57" i="2"/>
  <c r="C57" i="2"/>
  <c r="B57" i="2"/>
  <c r="AD56" i="2"/>
  <c r="AA56" i="2"/>
  <c r="U56" i="2"/>
  <c r="W56" i="2" s="1"/>
  <c r="L56" i="2"/>
  <c r="H56" i="2"/>
  <c r="G56" i="2"/>
  <c r="C56" i="2"/>
  <c r="B56" i="2"/>
  <c r="AD55" i="2"/>
  <c r="AA55" i="2"/>
  <c r="U55" i="2"/>
  <c r="W55" i="2" s="1"/>
  <c r="L55" i="2"/>
  <c r="H55" i="2"/>
  <c r="G55" i="2"/>
  <c r="C55" i="2"/>
  <c r="B55" i="2"/>
  <c r="AD54" i="2"/>
  <c r="AA54" i="2"/>
  <c r="U54" i="2"/>
  <c r="W54" i="2" s="1"/>
  <c r="L54" i="2"/>
  <c r="H54" i="2"/>
  <c r="G54" i="2"/>
  <c r="C54" i="2"/>
  <c r="B54" i="2"/>
  <c r="AD53" i="2"/>
  <c r="AA53" i="2"/>
  <c r="U53" i="2"/>
  <c r="W53" i="2" s="1"/>
  <c r="L53" i="2"/>
  <c r="H53" i="2"/>
  <c r="G53" i="2"/>
  <c r="C53" i="2"/>
  <c r="B53" i="2"/>
  <c r="AD52" i="2"/>
  <c r="AA52" i="2"/>
  <c r="U52" i="2"/>
  <c r="W52" i="2" s="1"/>
  <c r="L52" i="2"/>
  <c r="H52" i="2"/>
  <c r="G52" i="2"/>
  <c r="C52" i="2"/>
  <c r="B52" i="2"/>
  <c r="AD51" i="2"/>
  <c r="AA51" i="2"/>
  <c r="U51" i="2"/>
  <c r="W51" i="2" s="1"/>
  <c r="L51" i="2"/>
  <c r="H51" i="2"/>
  <c r="G51" i="2"/>
  <c r="C51" i="2"/>
  <c r="B51" i="2"/>
  <c r="AD50" i="2"/>
  <c r="AA50" i="2"/>
  <c r="U50" i="2"/>
  <c r="W50" i="2" s="1"/>
  <c r="L50" i="2"/>
  <c r="H50" i="2"/>
  <c r="G50" i="2"/>
  <c r="C50" i="2"/>
  <c r="B50" i="2"/>
  <c r="AD49" i="2"/>
  <c r="AA49" i="2"/>
  <c r="U49" i="2"/>
  <c r="W49" i="2" s="1"/>
  <c r="L49" i="2"/>
  <c r="H49" i="2"/>
  <c r="G49" i="2"/>
  <c r="C49" i="2"/>
  <c r="B49" i="2"/>
  <c r="AD48" i="2"/>
  <c r="AA48" i="2"/>
  <c r="U48" i="2"/>
  <c r="W48" i="2" s="1"/>
  <c r="L48" i="2"/>
  <c r="H48" i="2"/>
  <c r="G48" i="2"/>
  <c r="C48" i="2"/>
  <c r="B48" i="2"/>
  <c r="AD47" i="2"/>
  <c r="AA47" i="2"/>
  <c r="U47" i="2"/>
  <c r="W47" i="2" s="1"/>
  <c r="L47" i="2"/>
  <c r="H47" i="2"/>
  <c r="G47" i="2"/>
  <c r="C47" i="2"/>
  <c r="B47" i="2"/>
  <c r="AD46" i="2"/>
  <c r="AA46" i="2"/>
  <c r="U46" i="2"/>
  <c r="W46" i="2" s="1"/>
  <c r="L46" i="2"/>
  <c r="H46" i="2"/>
  <c r="G46" i="2"/>
  <c r="C46" i="2"/>
  <c r="B46" i="2"/>
  <c r="AD45" i="2"/>
  <c r="AA45" i="2"/>
  <c r="U45" i="2"/>
  <c r="W45" i="2" s="1"/>
  <c r="L45" i="2"/>
  <c r="H45" i="2"/>
  <c r="G45" i="2"/>
  <c r="C45" i="2"/>
  <c r="B45" i="2"/>
  <c r="AD44" i="2"/>
  <c r="AA44" i="2"/>
  <c r="U44" i="2"/>
  <c r="W44" i="2" s="1"/>
  <c r="L44" i="2"/>
  <c r="H44" i="2"/>
  <c r="G44" i="2"/>
  <c r="C44" i="2"/>
  <c r="B44" i="2"/>
  <c r="AD43" i="2"/>
  <c r="AA43" i="2"/>
  <c r="U43" i="2"/>
  <c r="W43" i="2" s="1"/>
  <c r="L43" i="2"/>
  <c r="H43" i="2"/>
  <c r="G43" i="2"/>
  <c r="C43" i="2"/>
  <c r="B43" i="2"/>
  <c r="AD42" i="2"/>
  <c r="AA42" i="2"/>
  <c r="U42" i="2"/>
  <c r="W42" i="2" s="1"/>
  <c r="L42" i="2"/>
  <c r="H42" i="2"/>
  <c r="G42" i="2"/>
  <c r="C42" i="2"/>
  <c r="B42" i="2"/>
  <c r="AD41" i="2"/>
  <c r="AA41" i="2"/>
  <c r="U41" i="2"/>
  <c r="W41" i="2" s="1"/>
  <c r="L41" i="2"/>
  <c r="H41" i="2"/>
  <c r="G41" i="2"/>
  <c r="C41" i="2"/>
  <c r="B41" i="2"/>
  <c r="AD40" i="2"/>
  <c r="AA40" i="2"/>
  <c r="U40" i="2"/>
  <c r="W40" i="2" s="1"/>
  <c r="L40" i="2"/>
  <c r="H40" i="2"/>
  <c r="G40" i="2"/>
  <c r="C40" i="2"/>
  <c r="B40" i="2"/>
  <c r="AD39" i="2"/>
  <c r="AA39" i="2"/>
  <c r="U39" i="2"/>
  <c r="W39" i="2" s="1"/>
  <c r="L39" i="2"/>
  <c r="H39" i="2"/>
  <c r="G39" i="2"/>
  <c r="C39" i="2"/>
  <c r="B39" i="2"/>
  <c r="AD38" i="2"/>
  <c r="AA38" i="2"/>
  <c r="U38" i="2"/>
  <c r="W38" i="2" s="1"/>
  <c r="L38" i="2"/>
  <c r="H38" i="2"/>
  <c r="G38" i="2"/>
  <c r="C38" i="2"/>
  <c r="B38" i="2"/>
  <c r="AD37" i="2"/>
  <c r="AA37" i="2"/>
  <c r="U37" i="2"/>
  <c r="W37" i="2" s="1"/>
  <c r="L37" i="2"/>
  <c r="H37" i="2"/>
  <c r="G37" i="2"/>
  <c r="C37" i="2"/>
  <c r="B37" i="2"/>
  <c r="AD36" i="2"/>
  <c r="AA36" i="2"/>
  <c r="U36" i="2"/>
  <c r="W36" i="2" s="1"/>
  <c r="L36" i="2"/>
  <c r="H36" i="2"/>
  <c r="G36" i="2"/>
  <c r="C36" i="2"/>
  <c r="B36" i="2"/>
  <c r="AD35" i="2"/>
  <c r="AA35" i="2"/>
  <c r="U35" i="2"/>
  <c r="W35" i="2" s="1"/>
  <c r="L35" i="2"/>
  <c r="H35" i="2"/>
  <c r="G35" i="2"/>
  <c r="C35" i="2"/>
  <c r="B35" i="2"/>
  <c r="AD34" i="2"/>
  <c r="AA34" i="2"/>
  <c r="U34" i="2"/>
  <c r="W34" i="2" s="1"/>
  <c r="L34" i="2"/>
  <c r="H34" i="2"/>
  <c r="G34" i="2"/>
  <c r="C34" i="2"/>
  <c r="B34" i="2"/>
  <c r="AD33" i="2"/>
  <c r="AA33" i="2"/>
  <c r="W33" i="2"/>
  <c r="U33" i="2"/>
  <c r="L33" i="2"/>
  <c r="H33" i="2"/>
  <c r="G33" i="2"/>
  <c r="C33" i="2"/>
  <c r="B33" i="2"/>
  <c r="AD32" i="2"/>
  <c r="AA32" i="2"/>
  <c r="U32" i="2"/>
  <c r="W32" i="2" s="1"/>
  <c r="L32" i="2"/>
  <c r="H32" i="2"/>
  <c r="G32" i="2"/>
  <c r="C32" i="2"/>
  <c r="B32" i="2"/>
  <c r="AD31" i="2"/>
  <c r="AA31" i="2"/>
  <c r="U31" i="2"/>
  <c r="W31" i="2" s="1"/>
  <c r="L31" i="2"/>
  <c r="H31" i="2"/>
  <c r="G31" i="2"/>
  <c r="C31" i="2"/>
  <c r="B31" i="2"/>
  <c r="AD30" i="2"/>
  <c r="AA30" i="2"/>
  <c r="U30" i="2"/>
  <c r="W30" i="2" s="1"/>
  <c r="L30" i="2"/>
  <c r="H30" i="2"/>
  <c r="G30" i="2"/>
  <c r="C30" i="2"/>
  <c r="B30" i="2"/>
  <c r="AD29" i="2"/>
  <c r="AA29" i="2"/>
  <c r="U29" i="2"/>
  <c r="W29" i="2" s="1"/>
  <c r="L29" i="2"/>
  <c r="H29" i="2"/>
  <c r="G29" i="2"/>
  <c r="C29" i="2"/>
  <c r="B29" i="2"/>
  <c r="AD28" i="2"/>
  <c r="AA28" i="2"/>
  <c r="U28" i="2"/>
  <c r="W28" i="2" s="1"/>
  <c r="L28" i="2"/>
  <c r="H28" i="2"/>
  <c r="G28" i="2"/>
  <c r="C28" i="2"/>
  <c r="B28" i="2"/>
  <c r="AD27" i="2"/>
  <c r="AA27" i="2"/>
  <c r="U27" i="2"/>
  <c r="W27" i="2" s="1"/>
  <c r="L27" i="2"/>
  <c r="H27" i="2"/>
  <c r="G27" i="2"/>
  <c r="C27" i="2"/>
  <c r="B27" i="2"/>
  <c r="AD26" i="2"/>
  <c r="AA26" i="2"/>
  <c r="U26" i="2"/>
  <c r="W26" i="2" s="1"/>
  <c r="L26" i="2"/>
  <c r="H26" i="2"/>
  <c r="G26" i="2"/>
  <c r="C26" i="2"/>
  <c r="B26" i="2"/>
  <c r="AD25" i="2"/>
  <c r="AA25" i="2"/>
  <c r="W25" i="2"/>
  <c r="U25" i="2"/>
  <c r="L25" i="2"/>
  <c r="H25" i="2"/>
  <c r="G25" i="2"/>
  <c r="C25" i="2"/>
  <c r="B25" i="2"/>
  <c r="AD24" i="2"/>
  <c r="AA24" i="2"/>
  <c r="U24" i="2"/>
  <c r="W24" i="2" s="1"/>
  <c r="L24" i="2"/>
  <c r="H24" i="2"/>
  <c r="G24" i="2"/>
  <c r="C24" i="2"/>
  <c r="B24" i="2"/>
  <c r="AD23" i="2"/>
  <c r="AA23" i="2"/>
  <c r="U23" i="2"/>
  <c r="W23" i="2" s="1"/>
  <c r="L23" i="2"/>
  <c r="H23" i="2"/>
  <c r="G23" i="2"/>
  <c r="C23" i="2"/>
  <c r="B23" i="2"/>
  <c r="AD22" i="2"/>
  <c r="AA22" i="2"/>
  <c r="U22" i="2"/>
  <c r="W22" i="2" s="1"/>
  <c r="L22" i="2"/>
  <c r="H22" i="2"/>
  <c r="G22" i="2"/>
  <c r="C22" i="2"/>
  <c r="B22" i="2"/>
  <c r="AD21" i="2"/>
  <c r="AA21" i="2"/>
  <c r="U21" i="2"/>
  <c r="W21" i="2" s="1"/>
  <c r="L21" i="2"/>
  <c r="H21" i="2"/>
  <c r="G21" i="2"/>
  <c r="C21" i="2"/>
  <c r="B21" i="2"/>
  <c r="AD20" i="2"/>
  <c r="AA20" i="2"/>
  <c r="U20" i="2"/>
  <c r="W20" i="2" s="1"/>
  <c r="L20" i="2"/>
  <c r="H20" i="2"/>
  <c r="G20" i="2"/>
  <c r="C20" i="2"/>
  <c r="B20" i="2"/>
  <c r="AD19" i="2"/>
  <c r="AA19" i="2"/>
  <c r="U19" i="2"/>
  <c r="W19" i="2" s="1"/>
  <c r="L19" i="2"/>
  <c r="H19" i="2"/>
  <c r="G19" i="2"/>
  <c r="C19" i="2"/>
  <c r="B19" i="2"/>
  <c r="AD18" i="2"/>
  <c r="AA18" i="2"/>
  <c r="U18" i="2"/>
  <c r="W18" i="2" s="1"/>
  <c r="L18" i="2"/>
  <c r="H18" i="2"/>
  <c r="G18" i="2"/>
  <c r="C18" i="2"/>
  <c r="B18" i="2"/>
  <c r="AD17" i="2"/>
  <c r="AA17" i="2"/>
  <c r="U17" i="2"/>
  <c r="W17" i="2" s="1"/>
  <c r="L17" i="2"/>
  <c r="H17" i="2"/>
  <c r="G17" i="2"/>
  <c r="C17" i="2"/>
  <c r="B17" i="2"/>
  <c r="AD16" i="2"/>
  <c r="AA16" i="2"/>
  <c r="U16" i="2"/>
  <c r="W16" i="2" s="1"/>
  <c r="L16" i="2"/>
  <c r="H16" i="2"/>
  <c r="G16" i="2"/>
  <c r="C16" i="2"/>
  <c r="B16" i="2"/>
  <c r="AD15" i="2"/>
  <c r="AA15" i="2"/>
  <c r="U15" i="2"/>
  <c r="W15" i="2" s="1"/>
  <c r="L15" i="2"/>
  <c r="H15" i="2"/>
  <c r="G15" i="2"/>
  <c r="C15" i="2"/>
  <c r="B15" i="2"/>
  <c r="AD14" i="2"/>
  <c r="AA14" i="2"/>
  <c r="U14" i="2"/>
  <c r="W14" i="2" s="1"/>
  <c r="L14" i="2"/>
  <c r="H14" i="2"/>
  <c r="G14" i="2"/>
  <c r="C14" i="2"/>
  <c r="B14" i="2"/>
  <c r="AD13" i="2"/>
  <c r="AA13" i="2"/>
  <c r="U13" i="2"/>
  <c r="W13" i="2" s="1"/>
  <c r="L13" i="2"/>
  <c r="H13" i="2"/>
  <c r="G13" i="2"/>
  <c r="C13" i="2"/>
  <c r="B13" i="2"/>
  <c r="AD12" i="2"/>
  <c r="AA12" i="2"/>
  <c r="U12" i="2"/>
  <c r="W12" i="2" s="1"/>
  <c r="L12" i="2"/>
  <c r="H12" i="2"/>
  <c r="G12" i="2"/>
  <c r="C12" i="2"/>
  <c r="B12" i="2"/>
  <c r="AD11" i="2"/>
  <c r="AA11" i="2"/>
  <c r="U11" i="2"/>
  <c r="W11" i="2" s="1"/>
  <c r="L11" i="2"/>
  <c r="H11" i="2"/>
  <c r="G11" i="2"/>
  <c r="C11" i="2"/>
  <c r="B11" i="2"/>
  <c r="AD10" i="2"/>
  <c r="AA10" i="2"/>
  <c r="U10" i="2"/>
  <c r="W10" i="2" s="1"/>
  <c r="L10" i="2"/>
  <c r="H10" i="2"/>
  <c r="G10" i="2"/>
  <c r="C10" i="2"/>
  <c r="B10" i="2"/>
  <c r="U9" i="2"/>
  <c r="W9" i="2" s="1"/>
  <c r="L9" i="2"/>
  <c r="H9" i="2"/>
  <c r="G9" i="2"/>
  <c r="C9" i="2"/>
  <c r="B9" i="2"/>
  <c r="AD8" i="2"/>
  <c r="AA8" i="2"/>
  <c r="U8" i="2"/>
  <c r="W8" i="2" s="1"/>
  <c r="L8" i="2"/>
  <c r="H8" i="2"/>
  <c r="G8" i="2"/>
  <c r="C8" i="2"/>
  <c r="B8" i="2"/>
  <c r="AD7" i="2"/>
  <c r="AA7" i="2"/>
  <c r="W7" i="2"/>
  <c r="U7" i="2"/>
  <c r="L7" i="2"/>
  <c r="H7" i="2"/>
  <c r="G7" i="2"/>
  <c r="C7" i="2"/>
  <c r="B7" i="2"/>
  <c r="AD6" i="2"/>
  <c r="AA6" i="2"/>
  <c r="U6" i="2"/>
  <c r="W6" i="2" s="1"/>
  <c r="L6" i="2"/>
  <c r="H6" i="2"/>
  <c r="G6" i="2"/>
  <c r="C6" i="2"/>
  <c r="B6" i="2"/>
  <c r="AD5" i="2"/>
  <c r="AA5" i="2"/>
  <c r="U5" i="2"/>
  <c r="W5" i="2" s="1"/>
  <c r="L5" i="2"/>
  <c r="H5" i="2"/>
  <c r="G5" i="2"/>
  <c r="C5" i="2"/>
  <c r="B5" i="2"/>
  <c r="AD4" i="2"/>
  <c r="AA4" i="2"/>
  <c r="U4" i="2"/>
  <c r="W4" i="2" s="1"/>
  <c r="L4" i="2"/>
  <c r="H4" i="2"/>
  <c r="G4" i="2"/>
  <c r="C4" i="2"/>
  <c r="B4" i="2"/>
  <c r="AD3" i="2"/>
  <c r="AA3" i="2"/>
  <c r="U3" i="2"/>
  <c r="W3" i="2" s="1"/>
  <c r="L3" i="2"/>
  <c r="H3" i="2"/>
  <c r="G3" i="2"/>
  <c r="C3" i="2"/>
  <c r="B3" i="2"/>
  <c r="AD2" i="2"/>
  <c r="AA2" i="2"/>
  <c r="U2" i="2"/>
  <c r="L2" i="2"/>
  <c r="H2" i="2"/>
  <c r="G2" i="2"/>
  <c r="C2" i="2"/>
  <c r="B2" i="2"/>
  <c r="U17" i="16" l="1"/>
  <c r="C10" i="15"/>
  <c r="L7" i="11"/>
  <c r="G11" i="6"/>
  <c r="N30" i="5"/>
  <c r="N32" i="5"/>
  <c r="N33" i="5"/>
  <c r="K8" i="11"/>
  <c r="K9" i="11"/>
  <c r="K10" i="11"/>
  <c r="K11" i="11"/>
  <c r="K12" i="11"/>
  <c r="L10" i="11"/>
  <c r="L11" i="11"/>
  <c r="K13" i="11"/>
  <c r="K14" i="11"/>
  <c r="I17" i="16"/>
  <c r="N16" i="16"/>
  <c r="D9" i="15"/>
  <c r="E9" i="15" s="1"/>
  <c r="D5" i="15"/>
  <c r="E5" i="15" s="1"/>
  <c r="D8" i="15"/>
  <c r="E8" i="15" s="1"/>
  <c r="V17" i="16"/>
  <c r="U19" i="16"/>
  <c r="V19" i="16" s="1"/>
  <c r="C8" i="6"/>
  <c r="D8" i="6"/>
  <c r="E8" i="6" s="1"/>
  <c r="B8" i="6"/>
  <c r="D16" i="4"/>
  <c r="D14" i="4"/>
  <c r="D12" i="4"/>
  <c r="D10" i="4"/>
  <c r="D8" i="4"/>
  <c r="D6" i="4"/>
  <c r="C16" i="4"/>
  <c r="C14" i="4"/>
  <c r="C12" i="4"/>
  <c r="C10" i="4"/>
  <c r="C8" i="4"/>
  <c r="C6" i="4"/>
  <c r="D17" i="4"/>
  <c r="D13" i="4"/>
  <c r="D9" i="4"/>
  <c r="C17" i="4"/>
  <c r="C13" i="4"/>
  <c r="C9" i="4"/>
  <c r="D15" i="4"/>
  <c r="D11" i="4"/>
  <c r="D7" i="4"/>
  <c r="C15" i="4"/>
  <c r="C11" i="4"/>
  <c r="C7" i="4"/>
  <c r="C4" i="6"/>
  <c r="B4" i="6"/>
  <c r="I6" i="6"/>
  <c r="H6" i="6"/>
  <c r="I16" i="9"/>
  <c r="I14" i="9"/>
  <c r="I12" i="9"/>
  <c r="I10" i="9"/>
  <c r="I8" i="9"/>
  <c r="I6" i="9"/>
  <c r="I13" i="9"/>
  <c r="J12" i="9"/>
  <c r="J11" i="9"/>
  <c r="I5" i="9"/>
  <c r="I11" i="9"/>
  <c r="J10" i="9"/>
  <c r="J9" i="9"/>
  <c r="J16" i="9"/>
  <c r="I9" i="9"/>
  <c r="J7" i="9"/>
  <c r="F5" i="7"/>
  <c r="J14" i="9"/>
  <c r="I7" i="9"/>
  <c r="J5" i="9"/>
  <c r="J15" i="9"/>
  <c r="J8" i="9"/>
  <c r="I15" i="9"/>
  <c r="J13" i="9"/>
  <c r="J6" i="9"/>
  <c r="G5" i="7"/>
  <c r="Y12" i="16"/>
  <c r="U11" i="16"/>
  <c r="V10" i="16"/>
  <c r="W9" i="16"/>
  <c r="Y8" i="16"/>
  <c r="Y11" i="16"/>
  <c r="Y10" i="16"/>
  <c r="Y9" i="16"/>
  <c r="W8" i="16"/>
  <c r="V7" i="16"/>
  <c r="W6" i="16"/>
  <c r="W12" i="16"/>
  <c r="W11" i="16"/>
  <c r="W10" i="16"/>
  <c r="V9" i="16"/>
  <c r="V8" i="16"/>
  <c r="U7" i="16"/>
  <c r="V6" i="16"/>
  <c r="E15" i="9"/>
  <c r="K15" i="9" s="1"/>
  <c r="E13" i="9"/>
  <c r="K13" i="9" s="1"/>
  <c r="E11" i="9"/>
  <c r="K11" i="9" s="1"/>
  <c r="E9" i="9"/>
  <c r="K9" i="9" s="1"/>
  <c r="E7" i="9"/>
  <c r="K7" i="9" s="1"/>
  <c r="E5" i="9"/>
  <c r="E16" i="9"/>
  <c r="K16" i="9" s="1"/>
  <c r="F15" i="9"/>
  <c r="L15" i="9" s="1"/>
  <c r="F14" i="9"/>
  <c r="L14" i="9" s="1"/>
  <c r="E8" i="9"/>
  <c r="K8" i="9" s="1"/>
  <c r="F7" i="9"/>
  <c r="L7" i="9" s="1"/>
  <c r="F6" i="9"/>
  <c r="L6" i="9" s="1"/>
  <c r="E14" i="9"/>
  <c r="K14" i="9" s="1"/>
  <c r="F13" i="9"/>
  <c r="L13" i="9" s="1"/>
  <c r="F12" i="9"/>
  <c r="L12" i="9" s="1"/>
  <c r="E6" i="9"/>
  <c r="K6" i="9" s="1"/>
  <c r="F5" i="9"/>
  <c r="F11" i="9"/>
  <c r="L11" i="9" s="1"/>
  <c r="B5" i="7"/>
  <c r="F16" i="9"/>
  <c r="L16" i="9" s="1"/>
  <c r="F9" i="9"/>
  <c r="L9" i="9" s="1"/>
  <c r="E12" i="9"/>
  <c r="K12" i="9" s="1"/>
  <c r="F10" i="9"/>
  <c r="L10" i="9" s="1"/>
  <c r="D5" i="7"/>
  <c r="E5" i="7" s="1"/>
  <c r="E10" i="9"/>
  <c r="K10" i="9" s="1"/>
  <c r="F8" i="9"/>
  <c r="L8" i="9" s="1"/>
  <c r="C5" i="7"/>
  <c r="C6" i="6"/>
  <c r="D6" i="6"/>
  <c r="E6" i="6" s="1"/>
  <c r="B6" i="6"/>
  <c r="F6" i="16"/>
  <c r="N6" i="16"/>
  <c r="Y6" i="16"/>
  <c r="I7" i="16"/>
  <c r="D8" i="16"/>
  <c r="L8" i="16"/>
  <c r="Z8" i="16"/>
  <c r="L9" i="16"/>
  <c r="Z9" i="16"/>
  <c r="M10" i="16"/>
  <c r="Z10" i="16"/>
  <c r="M11" i="16"/>
  <c r="C12" i="16"/>
  <c r="M12" i="16"/>
  <c r="C13" i="16"/>
  <c r="N13" i="16"/>
  <c r="I14" i="16"/>
  <c r="D15" i="16"/>
  <c r="N15" i="16"/>
  <c r="I16" i="16"/>
  <c r="D4" i="6"/>
  <c r="C5" i="6"/>
  <c r="D5" i="6"/>
  <c r="E5" i="6" s="1"/>
  <c r="B5" i="6"/>
  <c r="E16" i="10"/>
  <c r="E14" i="10"/>
  <c r="E12" i="10"/>
  <c r="E10" i="10"/>
  <c r="K10" i="10" s="1"/>
  <c r="E8" i="10"/>
  <c r="E6" i="10"/>
  <c r="F16" i="10"/>
  <c r="F15" i="10"/>
  <c r="E9" i="10"/>
  <c r="F8" i="10"/>
  <c r="F7" i="10"/>
  <c r="E15" i="10"/>
  <c r="K15" i="10" s="1"/>
  <c r="F14" i="10"/>
  <c r="F13" i="10"/>
  <c r="E7" i="10"/>
  <c r="F6" i="10"/>
  <c r="L6" i="10" s="1"/>
  <c r="F5" i="10"/>
  <c r="E13" i="10"/>
  <c r="F11" i="10"/>
  <c r="D6" i="7"/>
  <c r="E6" i="7" s="1"/>
  <c r="E11" i="10"/>
  <c r="F9" i="10"/>
  <c r="C6" i="7"/>
  <c r="F12" i="10"/>
  <c r="L12" i="10" s="1"/>
  <c r="E5" i="10"/>
  <c r="B6" i="7"/>
  <c r="F10" i="10"/>
  <c r="F16" i="12"/>
  <c r="F14" i="12"/>
  <c r="F12" i="12"/>
  <c r="F10" i="12"/>
  <c r="F8" i="12"/>
  <c r="F6" i="12"/>
  <c r="E16" i="12"/>
  <c r="E14" i="12"/>
  <c r="E12" i="12"/>
  <c r="E10" i="12"/>
  <c r="E8" i="12"/>
  <c r="E6" i="12"/>
  <c r="E15" i="12"/>
  <c r="E13" i="12"/>
  <c r="E11" i="12"/>
  <c r="E9" i="12"/>
  <c r="E7" i="12"/>
  <c r="E5" i="12"/>
  <c r="F9" i="12"/>
  <c r="F11" i="12"/>
  <c r="F13" i="12"/>
  <c r="F5" i="12"/>
  <c r="D8" i="7"/>
  <c r="E8" i="7" s="1"/>
  <c r="C8" i="7"/>
  <c r="F7" i="12"/>
  <c r="B8" i="7"/>
  <c r="F15" i="12"/>
  <c r="F16" i="8"/>
  <c r="L16" i="8" s="1"/>
  <c r="F14" i="8"/>
  <c r="L14" i="8" s="1"/>
  <c r="F12" i="8"/>
  <c r="L12" i="8" s="1"/>
  <c r="F10" i="8"/>
  <c r="L10" i="8" s="1"/>
  <c r="F8" i="8"/>
  <c r="L8" i="8" s="1"/>
  <c r="F6" i="8"/>
  <c r="L6" i="8" s="1"/>
  <c r="E16" i="8"/>
  <c r="K16" i="8" s="1"/>
  <c r="E14" i="8"/>
  <c r="K14" i="8" s="1"/>
  <c r="E12" i="8"/>
  <c r="K12" i="8" s="1"/>
  <c r="E10" i="8"/>
  <c r="K10" i="8" s="1"/>
  <c r="E8" i="8"/>
  <c r="K8" i="8" s="1"/>
  <c r="E6" i="8"/>
  <c r="K6" i="8" s="1"/>
  <c r="L3" i="5"/>
  <c r="H3" i="5"/>
  <c r="H5" i="5" s="1"/>
  <c r="D3" i="5"/>
  <c r="D4" i="7"/>
  <c r="P17" i="16"/>
  <c r="L17" i="16"/>
  <c r="H17" i="16"/>
  <c r="D17" i="16"/>
  <c r="P16" i="16"/>
  <c r="K16" i="16"/>
  <c r="G16" i="16"/>
  <c r="C16" i="16"/>
  <c r="O15" i="16"/>
  <c r="K15" i="16"/>
  <c r="G15" i="16"/>
  <c r="C15" i="16"/>
  <c r="O14" i="16"/>
  <c r="K14" i="16"/>
  <c r="G14" i="16"/>
  <c r="C14" i="16"/>
  <c r="M13" i="16"/>
  <c r="I13" i="16"/>
  <c r="E13" i="16"/>
  <c r="N12" i="16"/>
  <c r="J12" i="16"/>
  <c r="F12" i="16"/>
  <c r="O11" i="16"/>
  <c r="K11" i="16"/>
  <c r="G11" i="16"/>
  <c r="C11" i="16"/>
  <c r="P10" i="16"/>
  <c r="L10" i="16"/>
  <c r="H10" i="16"/>
  <c r="D10" i="16"/>
  <c r="R10" i="16" s="1"/>
  <c r="M9" i="16"/>
  <c r="I9" i="16"/>
  <c r="E9" i="16"/>
  <c r="N8" i="16"/>
  <c r="K3" i="5"/>
  <c r="G3" i="5"/>
  <c r="C3" i="5"/>
  <c r="C4" i="7"/>
  <c r="C10" i="7" s="1"/>
  <c r="F15" i="8"/>
  <c r="L15" i="8" s="1"/>
  <c r="F13" i="8"/>
  <c r="L13" i="8" s="1"/>
  <c r="F11" i="8"/>
  <c r="L11" i="8" s="1"/>
  <c r="F9" i="8"/>
  <c r="L9" i="8" s="1"/>
  <c r="F7" i="8"/>
  <c r="L7" i="8" s="1"/>
  <c r="F5" i="8"/>
  <c r="J3" i="5"/>
  <c r="F3" i="5"/>
  <c r="F5" i="5" s="1"/>
  <c r="B3" i="5"/>
  <c r="B4" i="7"/>
  <c r="E15" i="8"/>
  <c r="K15" i="8" s="1"/>
  <c r="E13" i="8"/>
  <c r="K13" i="8" s="1"/>
  <c r="E11" i="8"/>
  <c r="K11" i="8" s="1"/>
  <c r="E9" i="8"/>
  <c r="K9" i="8" s="1"/>
  <c r="E7" i="8"/>
  <c r="K7" i="8" s="1"/>
  <c r="E5" i="8"/>
  <c r="M3" i="5"/>
  <c r="I3" i="5"/>
  <c r="E3" i="5"/>
  <c r="M17" i="16"/>
  <c r="G17" i="16"/>
  <c r="L16" i="16"/>
  <c r="F16" i="16"/>
  <c r="L15" i="16"/>
  <c r="F15" i="16"/>
  <c r="L14" i="16"/>
  <c r="F14" i="16"/>
  <c r="L13" i="16"/>
  <c r="G13" i="16"/>
  <c r="L12" i="16"/>
  <c r="G12" i="16"/>
  <c r="L11" i="16"/>
  <c r="F11" i="16"/>
  <c r="K10" i="16"/>
  <c r="F10" i="16"/>
  <c r="P9" i="16"/>
  <c r="K9" i="16"/>
  <c r="F9" i="16"/>
  <c r="P8" i="16"/>
  <c r="K8" i="16"/>
  <c r="G8" i="16"/>
  <c r="C8" i="16"/>
  <c r="P7" i="16"/>
  <c r="L7" i="16"/>
  <c r="H7" i="16"/>
  <c r="D7" i="16"/>
  <c r="M6" i="16"/>
  <c r="I6" i="16"/>
  <c r="E6" i="16"/>
  <c r="K17" i="16"/>
  <c r="F17" i="16"/>
  <c r="J16" i="16"/>
  <c r="E16" i="16"/>
  <c r="P15" i="16"/>
  <c r="J15" i="16"/>
  <c r="E15" i="16"/>
  <c r="P14" i="16"/>
  <c r="J14" i="16"/>
  <c r="E14" i="16"/>
  <c r="P13" i="16"/>
  <c r="K13" i="16"/>
  <c r="F13" i="16"/>
  <c r="P12" i="16"/>
  <c r="K12" i="16"/>
  <c r="E12" i="16"/>
  <c r="P11" i="16"/>
  <c r="J11" i="16"/>
  <c r="E11" i="16"/>
  <c r="O10" i="16"/>
  <c r="J10" i="16"/>
  <c r="E10" i="16"/>
  <c r="O9" i="16"/>
  <c r="J9" i="16"/>
  <c r="D9" i="16"/>
  <c r="O8" i="16"/>
  <c r="J8" i="16"/>
  <c r="F8" i="16"/>
  <c r="O7" i="16"/>
  <c r="K7" i="16"/>
  <c r="G7" i="16"/>
  <c r="C7" i="16"/>
  <c r="P6" i="16"/>
  <c r="L6" i="16"/>
  <c r="H6" i="16"/>
  <c r="D6" i="16"/>
  <c r="O17" i="16"/>
  <c r="J17" i="16"/>
  <c r="E17" i="16"/>
  <c r="W2" i="2"/>
  <c r="D4" i="15" s="1"/>
  <c r="D9" i="6"/>
  <c r="E9" i="6" s="1"/>
  <c r="C9" i="6"/>
  <c r="B9" i="6"/>
  <c r="I15" i="10"/>
  <c r="I13" i="10"/>
  <c r="I11" i="10"/>
  <c r="I9" i="10"/>
  <c r="I7" i="10"/>
  <c r="I5" i="10"/>
  <c r="I14" i="10"/>
  <c r="J13" i="10"/>
  <c r="J12" i="10"/>
  <c r="I6" i="10"/>
  <c r="J5" i="10"/>
  <c r="I12" i="10"/>
  <c r="J11" i="10"/>
  <c r="J10" i="10"/>
  <c r="J16" i="10"/>
  <c r="J9" i="10"/>
  <c r="I16" i="10"/>
  <c r="J14" i="10"/>
  <c r="J7" i="10"/>
  <c r="G6" i="7"/>
  <c r="I10" i="10"/>
  <c r="J8" i="10"/>
  <c r="F6" i="7"/>
  <c r="J15" i="10"/>
  <c r="I8" i="10"/>
  <c r="J6" i="10"/>
  <c r="I5" i="6"/>
  <c r="I11" i="6" s="1"/>
  <c r="H5" i="6"/>
  <c r="I8" i="6"/>
  <c r="H8" i="6"/>
  <c r="M31" i="5"/>
  <c r="I31" i="5"/>
  <c r="E31" i="5"/>
  <c r="L7" i="5"/>
  <c r="H7" i="5"/>
  <c r="D7" i="5"/>
  <c r="H31" i="5"/>
  <c r="C31" i="5"/>
  <c r="C35" i="5" s="1"/>
  <c r="M7" i="5"/>
  <c r="G7" i="5"/>
  <c r="B7" i="5"/>
  <c r="J4" i="5"/>
  <c r="F4" i="5"/>
  <c r="B4" i="5"/>
  <c r="L31" i="5"/>
  <c r="G31" i="5"/>
  <c r="B31" i="5"/>
  <c r="K7" i="5"/>
  <c r="F7" i="5"/>
  <c r="M4" i="5"/>
  <c r="I4" i="5"/>
  <c r="E4" i="5"/>
  <c r="K31" i="5"/>
  <c r="F31" i="5"/>
  <c r="J7" i="5"/>
  <c r="E7" i="5"/>
  <c r="L4" i="5"/>
  <c r="H4" i="5"/>
  <c r="D4" i="5"/>
  <c r="J31" i="5"/>
  <c r="D31" i="5"/>
  <c r="I7" i="5"/>
  <c r="C7" i="5"/>
  <c r="K4" i="5"/>
  <c r="G4" i="5"/>
  <c r="C4" i="5"/>
  <c r="K34" i="5"/>
  <c r="G34" i="5"/>
  <c r="C34" i="5"/>
  <c r="J34" i="5"/>
  <c r="M34" i="5"/>
  <c r="F34" i="5"/>
  <c r="L34" i="5"/>
  <c r="E34" i="5"/>
  <c r="I34" i="5"/>
  <c r="D34" i="5"/>
  <c r="H34" i="5"/>
  <c r="B34" i="5"/>
  <c r="J16" i="18"/>
  <c r="J14" i="18"/>
  <c r="J12" i="18"/>
  <c r="J10" i="18"/>
  <c r="J8" i="18"/>
  <c r="J6" i="18"/>
  <c r="I16" i="18"/>
  <c r="I14" i="18"/>
  <c r="I12" i="18"/>
  <c r="I10" i="18"/>
  <c r="I8" i="18"/>
  <c r="I6" i="18"/>
  <c r="I15" i="18"/>
  <c r="I13" i="18"/>
  <c r="I11" i="18"/>
  <c r="I9" i="18"/>
  <c r="I7" i="18"/>
  <c r="I5" i="18"/>
  <c r="I17" i="18" s="1"/>
  <c r="J15" i="18"/>
  <c r="J7" i="18"/>
  <c r="J9" i="18"/>
  <c r="J11" i="18"/>
  <c r="J13" i="18"/>
  <c r="F9" i="7"/>
  <c r="J5" i="18"/>
  <c r="G9" i="7"/>
  <c r="G6" i="16"/>
  <c r="O6" i="16"/>
  <c r="J7" i="16"/>
  <c r="E8" i="16"/>
  <c r="M8" i="16"/>
  <c r="C9" i="16"/>
  <c r="N9" i="16"/>
  <c r="C10" i="16"/>
  <c r="N10" i="16"/>
  <c r="D11" i="16"/>
  <c r="N11" i="16"/>
  <c r="D12" i="16"/>
  <c r="O12" i="16"/>
  <c r="D13" i="16"/>
  <c r="O13" i="16"/>
  <c r="M14" i="16"/>
  <c r="H15" i="16"/>
  <c r="M16" i="16"/>
  <c r="N17" i="16"/>
  <c r="D6" i="15"/>
  <c r="E6" i="15" s="1"/>
  <c r="Z11" i="16"/>
  <c r="Z12" i="16"/>
  <c r="Z7" i="16"/>
  <c r="J6" i="16"/>
  <c r="E7" i="16"/>
  <c r="M7" i="16"/>
  <c r="W7" i="16"/>
  <c r="H8" i="16"/>
  <c r="G9" i="16"/>
  <c r="G10" i="16"/>
  <c r="H11" i="16"/>
  <c r="H12" i="16"/>
  <c r="U12" i="16"/>
  <c r="H13" i="16"/>
  <c r="D14" i="16"/>
  <c r="N14" i="16"/>
  <c r="I15" i="16"/>
  <c r="D16" i="16"/>
  <c r="O16" i="16"/>
  <c r="F15" i="18"/>
  <c r="L15" i="18" s="1"/>
  <c r="F13" i="18"/>
  <c r="L13" i="18" s="1"/>
  <c r="F11" i="18"/>
  <c r="F9" i="18"/>
  <c r="L9" i="18" s="1"/>
  <c r="F7" i="18"/>
  <c r="L7" i="18" s="1"/>
  <c r="F5" i="18"/>
  <c r="E15" i="18"/>
  <c r="E13" i="18"/>
  <c r="K13" i="18" s="1"/>
  <c r="E11" i="18"/>
  <c r="K11" i="18" s="1"/>
  <c r="E9" i="18"/>
  <c r="K9" i="18" s="1"/>
  <c r="E7" i="18"/>
  <c r="E5" i="18"/>
  <c r="E16" i="18"/>
  <c r="K16" i="18" s="1"/>
  <c r="E14" i="18"/>
  <c r="K14" i="18" s="1"/>
  <c r="E12" i="18"/>
  <c r="E10" i="18"/>
  <c r="K10" i="18" s="1"/>
  <c r="E8" i="18"/>
  <c r="K8" i="18" s="1"/>
  <c r="E6" i="18"/>
  <c r="K6" i="18" s="1"/>
  <c r="F10" i="18"/>
  <c r="L10" i="18" s="1"/>
  <c r="F12" i="18"/>
  <c r="L12" i="18" s="1"/>
  <c r="F14" i="18"/>
  <c r="L14" i="18" s="1"/>
  <c r="F6" i="18"/>
  <c r="F16" i="18"/>
  <c r="B9" i="7"/>
  <c r="F8" i="18"/>
  <c r="L8" i="18" s="1"/>
  <c r="D9" i="7"/>
  <c r="E9" i="7" s="1"/>
  <c r="C9" i="7"/>
  <c r="J15" i="12"/>
  <c r="J13" i="12"/>
  <c r="J11" i="12"/>
  <c r="J9" i="12"/>
  <c r="J7" i="12"/>
  <c r="J5" i="12"/>
  <c r="I15" i="12"/>
  <c r="I13" i="12"/>
  <c r="I11" i="12"/>
  <c r="I9" i="12"/>
  <c r="I7" i="12"/>
  <c r="I5" i="12"/>
  <c r="I16" i="12"/>
  <c r="I14" i="12"/>
  <c r="I12" i="12"/>
  <c r="I10" i="12"/>
  <c r="I8" i="12"/>
  <c r="I6" i="12"/>
  <c r="J14" i="12"/>
  <c r="J6" i="12"/>
  <c r="J16" i="12"/>
  <c r="J8" i="12"/>
  <c r="J10" i="12"/>
  <c r="J12" i="12"/>
  <c r="G8" i="7"/>
  <c r="G10" i="7" s="1"/>
  <c r="F8" i="7"/>
  <c r="I9" i="6"/>
  <c r="H9" i="6"/>
  <c r="C6" i="16"/>
  <c r="K6" i="16"/>
  <c r="U6" i="16"/>
  <c r="F7" i="16"/>
  <c r="N7" i="16"/>
  <c r="Y7" i="16"/>
  <c r="I8" i="16"/>
  <c r="U8" i="16"/>
  <c r="H9" i="16"/>
  <c r="U9" i="16"/>
  <c r="I10" i="16"/>
  <c r="U10" i="16"/>
  <c r="I11" i="16"/>
  <c r="V11" i="16"/>
  <c r="I12" i="16"/>
  <c r="V12" i="16"/>
  <c r="J13" i="16"/>
  <c r="H14" i="16"/>
  <c r="M15" i="16"/>
  <c r="H16" i="16"/>
  <c r="C17" i="16"/>
  <c r="F11" i="6"/>
  <c r="F10" i="7"/>
  <c r="H11" i="6"/>
  <c r="J35" i="5"/>
  <c r="E35" i="5"/>
  <c r="I35" i="5"/>
  <c r="M35" i="5"/>
  <c r="B35" i="5"/>
  <c r="L5" i="11"/>
  <c r="F17" i="11"/>
  <c r="J17" i="11"/>
  <c r="D35" i="5"/>
  <c r="H35" i="5"/>
  <c r="L35" i="5"/>
  <c r="K7" i="11"/>
  <c r="L13" i="11"/>
  <c r="K5" i="11"/>
  <c r="L15" i="11"/>
  <c r="E17" i="11"/>
  <c r="Q17" i="16" l="1"/>
  <c r="K19" i="16"/>
  <c r="I17" i="12"/>
  <c r="L16" i="18"/>
  <c r="K12" i="18"/>
  <c r="K7" i="18"/>
  <c r="K15" i="18"/>
  <c r="L11" i="18"/>
  <c r="R16" i="16"/>
  <c r="R13" i="16"/>
  <c r="R11" i="16"/>
  <c r="Q9" i="16"/>
  <c r="O19" i="16"/>
  <c r="N34" i="5"/>
  <c r="H6" i="5"/>
  <c r="F35" i="5"/>
  <c r="G35" i="5"/>
  <c r="I17" i="10"/>
  <c r="P19" i="16"/>
  <c r="R9" i="16"/>
  <c r="R7" i="16"/>
  <c r="Q8" i="16"/>
  <c r="I5" i="5"/>
  <c r="B10" i="7"/>
  <c r="F17" i="8"/>
  <c r="L5" i="8"/>
  <c r="L17" i="8" s="1"/>
  <c r="G5" i="5"/>
  <c r="G6" i="5" s="1"/>
  <c r="Q14" i="16"/>
  <c r="Q15" i="16"/>
  <c r="Q16" i="16"/>
  <c r="R17" i="16"/>
  <c r="D10" i="7"/>
  <c r="E4" i="7"/>
  <c r="E10" i="7" s="1"/>
  <c r="L15" i="12"/>
  <c r="L9" i="12"/>
  <c r="K11" i="12"/>
  <c r="K8" i="12"/>
  <c r="K16" i="12"/>
  <c r="L12" i="12"/>
  <c r="L9" i="10"/>
  <c r="K13" i="10"/>
  <c r="L13" i="10"/>
  <c r="L8" i="10"/>
  <c r="K6" i="10"/>
  <c r="K14" i="10"/>
  <c r="Q13" i="16"/>
  <c r="Y13" i="16"/>
  <c r="F17" i="9"/>
  <c r="L5" i="9"/>
  <c r="L17" i="9" s="1"/>
  <c r="W13" i="16"/>
  <c r="C11" i="6"/>
  <c r="Q6" i="16"/>
  <c r="C19" i="16"/>
  <c r="K5" i="18"/>
  <c r="E17" i="18"/>
  <c r="R14" i="16"/>
  <c r="K17" i="11"/>
  <c r="L17" i="11"/>
  <c r="U13" i="16"/>
  <c r="L6" i="18"/>
  <c r="L5" i="18"/>
  <c r="L17" i="18" s="1"/>
  <c r="F17" i="18"/>
  <c r="G19" i="16"/>
  <c r="K35" i="5"/>
  <c r="N7" i="5"/>
  <c r="E4" i="15"/>
  <c r="E10" i="15" s="1"/>
  <c r="D10" i="15"/>
  <c r="D19" i="16"/>
  <c r="R6" i="16"/>
  <c r="Q7" i="16"/>
  <c r="E19" i="16"/>
  <c r="M5" i="5"/>
  <c r="M6" i="5" s="1"/>
  <c r="B5" i="5"/>
  <c r="B6" i="5" s="1"/>
  <c r="N3" i="5"/>
  <c r="K5" i="5"/>
  <c r="D5" i="5"/>
  <c r="F17" i="12"/>
  <c r="L5" i="12"/>
  <c r="E17" i="12"/>
  <c r="K5" i="12"/>
  <c r="K13" i="12"/>
  <c r="K10" i="12"/>
  <c r="L6" i="12"/>
  <c r="L14" i="12"/>
  <c r="E17" i="10"/>
  <c r="K5" i="10"/>
  <c r="K11" i="10"/>
  <c r="L5" i="10"/>
  <c r="F17" i="10"/>
  <c r="L14" i="10"/>
  <c r="K9" i="10"/>
  <c r="K8" i="10"/>
  <c r="K16" i="10"/>
  <c r="R15" i="16"/>
  <c r="N19" i="16"/>
  <c r="V13" i="16"/>
  <c r="J17" i="9"/>
  <c r="C18" i="4"/>
  <c r="J17" i="12"/>
  <c r="J19" i="16"/>
  <c r="R12" i="16"/>
  <c r="Q10" i="16"/>
  <c r="K6" i="5"/>
  <c r="N4" i="5"/>
  <c r="H19" i="16"/>
  <c r="I19" i="16"/>
  <c r="E17" i="8"/>
  <c r="K5" i="8"/>
  <c r="K17" i="8" s="1"/>
  <c r="Q11" i="16"/>
  <c r="L7" i="12"/>
  <c r="L13" i="12"/>
  <c r="K7" i="12"/>
  <c r="K15" i="12"/>
  <c r="K12" i="12"/>
  <c r="L8" i="12"/>
  <c r="L16" i="12"/>
  <c r="L15" i="10"/>
  <c r="E4" i="6"/>
  <c r="E11" i="6" s="1"/>
  <c r="D11" i="6"/>
  <c r="Q12" i="16"/>
  <c r="R8" i="16"/>
  <c r="F19" i="16"/>
  <c r="Z6" i="16"/>
  <c r="Z13" i="16" s="1"/>
  <c r="J17" i="18"/>
  <c r="D6" i="5"/>
  <c r="I6" i="5"/>
  <c r="N31" i="5"/>
  <c r="F6" i="5"/>
  <c r="J17" i="10"/>
  <c r="L19" i="16"/>
  <c r="M19" i="16"/>
  <c r="E5" i="5"/>
  <c r="E6" i="5" s="1"/>
  <c r="J5" i="5"/>
  <c r="J6" i="5" s="1"/>
  <c r="C5" i="5"/>
  <c r="C6" i="5" s="1"/>
  <c r="L5" i="5"/>
  <c r="L6" i="5" s="1"/>
  <c r="L11" i="12"/>
  <c r="K9" i="12"/>
  <c r="K6" i="12"/>
  <c r="K14" i="12"/>
  <c r="L10" i="12"/>
  <c r="L10" i="10"/>
  <c r="L11" i="10"/>
  <c r="K7" i="10"/>
  <c r="L7" i="10"/>
  <c r="L16" i="10"/>
  <c r="K12" i="10"/>
  <c r="K5" i="9"/>
  <c r="K17" i="9" s="1"/>
  <c r="E17" i="9"/>
  <c r="I17" i="9"/>
  <c r="B11" i="6"/>
  <c r="D18" i="4"/>
  <c r="L20" i="16" l="1"/>
  <c r="M20" i="16"/>
  <c r="N35" i="5"/>
  <c r="O34" i="5" s="1"/>
  <c r="F20" i="16"/>
  <c r="I20" i="16"/>
  <c r="J20" i="16"/>
  <c r="G20" i="16"/>
  <c r="P20" i="16"/>
  <c r="H20" i="16"/>
  <c r="L17" i="10"/>
  <c r="K17" i="12"/>
  <c r="D20" i="16"/>
  <c r="R19" i="16"/>
  <c r="K17" i="18"/>
  <c r="O20" i="16"/>
  <c r="K20" i="16"/>
  <c r="N20" i="16"/>
  <c r="E20" i="16"/>
  <c r="C20" i="16"/>
  <c r="Q19" i="16"/>
  <c r="K17" i="10"/>
  <c r="L17" i="12"/>
  <c r="N5" i="5"/>
  <c r="O4" i="5" s="1"/>
  <c r="O3" i="5" l="1"/>
  <c r="O5" i="5" s="1"/>
  <c r="O6" i="5" s="1"/>
  <c r="R20" i="16"/>
  <c r="Q20" i="16"/>
  <c r="O30" i="5"/>
  <c r="O33" i="5"/>
  <c r="O32" i="5"/>
  <c r="O31" i="5"/>
  <c r="O35" i="5" l="1"/>
</calcChain>
</file>

<file path=xl/sharedStrings.xml><?xml version="1.0" encoding="utf-8"?>
<sst xmlns="http://schemas.openxmlformats.org/spreadsheetml/2006/main" count="5456" uniqueCount="1200">
  <si>
    <t>Mon</t>
    <phoneticPr fontId="3" type="noConversion"/>
  </si>
  <si>
    <t>수리완료
ww</t>
    <phoneticPr fontId="3" type="noConversion"/>
  </si>
  <si>
    <t>Requester</t>
  </si>
  <si>
    <t>입고일</t>
  </si>
  <si>
    <t>수리완료일</t>
  </si>
  <si>
    <t>Line</t>
  </si>
  <si>
    <t>Divisoin</t>
  </si>
  <si>
    <t>Team</t>
  </si>
  <si>
    <t>Process</t>
  </si>
  <si>
    <t>Board Name</t>
  </si>
  <si>
    <t>증 상/조치</t>
  </si>
  <si>
    <t>S/N</t>
  </si>
  <si>
    <t>Q'TY</t>
  </si>
  <si>
    <t>New B/D
Price(K\)</t>
    <phoneticPr fontId="3" type="noConversion"/>
  </si>
  <si>
    <t>자체/외주</t>
  </si>
  <si>
    <t>외주업체</t>
  </si>
  <si>
    <t>Repair
 Time(H)</t>
    <phoneticPr fontId="3" type="noConversion"/>
  </si>
  <si>
    <t>Engineer</t>
  </si>
  <si>
    <t>Mar</t>
    <phoneticPr fontId="3" type="noConversion"/>
  </si>
  <si>
    <t>Sep</t>
    <phoneticPr fontId="3" type="noConversion"/>
  </si>
  <si>
    <t>Jan</t>
    <phoneticPr fontId="3" type="noConversion"/>
  </si>
  <si>
    <t>Oct</t>
  </si>
  <si>
    <t>ATC</t>
    <phoneticPr fontId="3" type="noConversion"/>
  </si>
  <si>
    <t>ATP</t>
    <phoneticPr fontId="3" type="noConversion"/>
  </si>
  <si>
    <t>Nov</t>
    <phoneticPr fontId="3" type="noConversion"/>
  </si>
  <si>
    <t>Dec</t>
    <phoneticPr fontId="3" type="noConversion"/>
  </si>
  <si>
    <t>허준영</t>
    <phoneticPr fontId="3" type="noConversion"/>
  </si>
  <si>
    <t>ATM</t>
    <phoneticPr fontId="3" type="noConversion"/>
  </si>
  <si>
    <t>큐텍코리아</t>
    <phoneticPr fontId="3" type="noConversion"/>
  </si>
  <si>
    <t>장은철</t>
    <phoneticPr fontId="3" type="noConversion"/>
  </si>
  <si>
    <t>Other</t>
    <phoneticPr fontId="3" type="noConversion"/>
  </si>
  <si>
    <t>ATT</t>
    <phoneticPr fontId="3" type="noConversion"/>
  </si>
  <si>
    <t>강영구</t>
    <phoneticPr fontId="3" type="noConversion"/>
  </si>
  <si>
    <t>디에이테크</t>
    <phoneticPr fontId="3" type="noConversion"/>
  </si>
  <si>
    <t>Feb</t>
  </si>
  <si>
    <t>Feb</t>
    <phoneticPr fontId="3" type="noConversion"/>
  </si>
  <si>
    <t>Apr</t>
    <phoneticPr fontId="3" type="noConversion"/>
  </si>
  <si>
    <t>Mar</t>
  </si>
  <si>
    <t>박병대</t>
    <phoneticPr fontId="3" type="noConversion"/>
  </si>
  <si>
    <t>Apr</t>
  </si>
  <si>
    <t>May</t>
  </si>
  <si>
    <t>인베닉스</t>
    <phoneticPr fontId="3" type="noConversion"/>
  </si>
  <si>
    <t>최준영</t>
    <phoneticPr fontId="3" type="noConversion"/>
  </si>
  <si>
    <t>Jun</t>
    <phoneticPr fontId="3" type="noConversion"/>
  </si>
  <si>
    <t>May</t>
    <phoneticPr fontId="3" type="noConversion"/>
  </si>
  <si>
    <t>Jun</t>
  </si>
  <si>
    <t>Jul</t>
    <phoneticPr fontId="3" type="noConversion"/>
  </si>
  <si>
    <t>Jul</t>
  </si>
  <si>
    <t>Aug</t>
    <phoneticPr fontId="3" type="noConversion"/>
  </si>
  <si>
    <t>Aug</t>
  </si>
  <si>
    <t>Sep</t>
  </si>
  <si>
    <t>Month</t>
    <phoneticPr fontId="11" type="noConversion"/>
  </si>
  <si>
    <t>ATK</t>
    <phoneticPr fontId="3" type="noConversion"/>
  </si>
  <si>
    <t>Total(Mon)</t>
    <phoneticPr fontId="3" type="noConversion"/>
  </si>
  <si>
    <t>Count</t>
    <phoneticPr fontId="3" type="noConversion"/>
  </si>
  <si>
    <t>Cost Save</t>
    <phoneticPr fontId="3" type="noConversion"/>
  </si>
  <si>
    <t>cost save</t>
    <phoneticPr fontId="3" type="noConversion"/>
  </si>
  <si>
    <t>Jan.</t>
    <phoneticPr fontId="3" type="noConversion"/>
  </si>
  <si>
    <t>Feb.</t>
    <phoneticPr fontId="3" type="noConversion"/>
  </si>
  <si>
    <t>Mar.</t>
    <phoneticPr fontId="3" type="noConversion"/>
  </si>
  <si>
    <t>Apr.</t>
    <phoneticPr fontId="3" type="noConversion"/>
  </si>
  <si>
    <t>Jun.</t>
    <phoneticPr fontId="3" type="noConversion"/>
  </si>
  <si>
    <t>Aug.</t>
    <phoneticPr fontId="3" type="noConversion"/>
  </si>
  <si>
    <t>Sep.</t>
    <phoneticPr fontId="3" type="noConversion"/>
  </si>
  <si>
    <t>Oct.</t>
    <phoneticPr fontId="3" type="noConversion"/>
  </si>
  <si>
    <t>Nov.</t>
    <phoneticPr fontId="3" type="noConversion"/>
  </si>
  <si>
    <t>Dec.</t>
    <phoneticPr fontId="3" type="noConversion"/>
  </si>
  <si>
    <t>Total(Site)</t>
    <phoneticPr fontId="3" type="noConversion"/>
  </si>
  <si>
    <t>Ratio(%)</t>
    <phoneticPr fontId="3" type="noConversion"/>
  </si>
  <si>
    <t>Ionizer Cumulative frequency graph</t>
    <phoneticPr fontId="3" type="noConversion"/>
  </si>
  <si>
    <t>Repair
Count</t>
    <phoneticPr fontId="3" type="noConversion"/>
  </si>
  <si>
    <r>
      <rPr>
        <b/>
        <sz val="11"/>
        <color theme="5" tint="-0.49995422223578601"/>
        <rFont val="Arial"/>
        <family val="2"/>
      </rPr>
      <t>Cost Save</t>
    </r>
    <r>
      <rPr>
        <b/>
        <sz val="12"/>
        <color theme="5" tint="-0.49995422223578601"/>
        <rFont val="Arial"/>
        <family val="2"/>
      </rPr>
      <t xml:space="preserve">
</t>
    </r>
    <r>
      <rPr>
        <b/>
        <sz val="9"/>
        <color theme="5" tint="-0.49995422223578601"/>
        <rFont val="Arial"/>
        <family val="2"/>
      </rPr>
      <t>(Unit : KWon)</t>
    </r>
    <phoneticPr fontId="11" type="noConversion"/>
  </si>
  <si>
    <t>TOTAL</t>
    <phoneticPr fontId="3" type="noConversion"/>
  </si>
  <si>
    <t>Nov</t>
  </si>
  <si>
    <t>Dec</t>
  </si>
  <si>
    <t>Total</t>
    <phoneticPr fontId="3" type="noConversion"/>
  </si>
  <si>
    <t>자체수리</t>
    <phoneticPr fontId="3" type="noConversion"/>
  </si>
  <si>
    <t>외주수리</t>
    <phoneticPr fontId="3" type="noConversion"/>
  </si>
  <si>
    <t>총 합계(건수)</t>
    <phoneticPr fontId="3" type="noConversion"/>
  </si>
  <si>
    <t>외주수리율(%)</t>
    <phoneticPr fontId="3" type="noConversion"/>
  </si>
  <si>
    <t>외주비용(K\)</t>
    <phoneticPr fontId="3" type="noConversion"/>
  </si>
  <si>
    <t>Maker</t>
    <phoneticPr fontId="3" type="noConversion"/>
  </si>
  <si>
    <t>Weekly Performance</t>
    <phoneticPr fontId="3" type="noConversion"/>
  </si>
  <si>
    <t>Technical Support(Complete)</t>
    <phoneticPr fontId="3" type="noConversion"/>
  </si>
  <si>
    <t>(Ongoing)</t>
    <phoneticPr fontId="3" type="noConversion"/>
  </si>
  <si>
    <t>건수</t>
    <phoneticPr fontId="3" type="noConversion"/>
  </si>
  <si>
    <t>시간</t>
    <phoneticPr fontId="3" type="noConversion"/>
  </si>
  <si>
    <t>Cost Save(K\)</t>
    <phoneticPr fontId="3" type="noConversion"/>
  </si>
  <si>
    <t>Monthly Performance</t>
    <phoneticPr fontId="3" type="noConversion"/>
  </si>
  <si>
    <t>Technical Support</t>
    <phoneticPr fontId="3" type="noConversion"/>
  </si>
  <si>
    <t>Person Activity Summary</t>
    <phoneticPr fontId="3" type="noConversion"/>
  </si>
  <si>
    <t>Month</t>
    <phoneticPr fontId="3" type="noConversion"/>
  </si>
  <si>
    <t>Category</t>
    <phoneticPr fontId="3" type="noConversion"/>
  </si>
  <si>
    <t>TTL</t>
    <phoneticPr fontId="3" type="noConversion"/>
  </si>
  <si>
    <t>Project</t>
    <phoneticPr fontId="3" type="noConversion"/>
  </si>
  <si>
    <t>Overhaul</t>
    <phoneticPr fontId="3" type="noConversion"/>
  </si>
  <si>
    <t>Oct</t>
    <phoneticPr fontId="3" type="noConversion"/>
  </si>
  <si>
    <t>Factory</t>
    <phoneticPr fontId="3" type="noConversion"/>
  </si>
  <si>
    <t>Request
eBoard
(Q'ty)</t>
    <phoneticPr fontId="3" type="noConversion"/>
  </si>
  <si>
    <t>Repair
Success
(Q'ty)</t>
    <phoneticPr fontId="3" type="noConversion"/>
  </si>
  <si>
    <t>Repair
Impossible
(Q'ty)</t>
    <phoneticPr fontId="3" type="noConversion"/>
  </si>
  <si>
    <t>Return
Shipping
(Q'ty)</t>
    <phoneticPr fontId="3" type="noConversion"/>
  </si>
  <si>
    <t>Repair
Ongoing
(Q'ty)</t>
    <phoneticPr fontId="3" type="noConversion"/>
  </si>
  <si>
    <t>R&amp;M Cost Save
(K$)</t>
    <phoneticPr fontId="3" type="noConversion"/>
  </si>
  <si>
    <t>ATEP</t>
    <phoneticPr fontId="3" type="noConversion"/>
  </si>
  <si>
    <t>EXR</t>
    <phoneticPr fontId="3" type="noConversion"/>
  </si>
  <si>
    <t>Site</t>
    <phoneticPr fontId="3" type="noConversion"/>
  </si>
  <si>
    <t>Status</t>
    <phoneticPr fontId="3" type="noConversion"/>
  </si>
  <si>
    <t>Currency</t>
    <phoneticPr fontId="3" type="noConversion"/>
  </si>
  <si>
    <t>EXR (\/$):</t>
    <phoneticPr fontId="3" type="noConversion"/>
  </si>
  <si>
    <t>K$</t>
  </si>
  <si>
    <t>By Count</t>
    <phoneticPr fontId="3" type="noConversion"/>
  </si>
  <si>
    <t>AWW Report Form</t>
    <phoneticPr fontId="3" type="noConversion"/>
  </si>
  <si>
    <t>최준영</t>
    <phoneticPr fontId="3" type="noConversion"/>
  </si>
  <si>
    <t>Outsourcing Price</t>
    <phoneticPr fontId="3" type="noConversion"/>
  </si>
  <si>
    <t xml:space="preserve"> (K\)</t>
    <phoneticPr fontId="3" type="noConversion"/>
  </si>
  <si>
    <t>K$</t>
    <phoneticPr fontId="3" type="noConversion"/>
  </si>
  <si>
    <t>In-House Price</t>
    <phoneticPr fontId="3" type="noConversion"/>
  </si>
  <si>
    <t>Including Ongoing</t>
    <phoneticPr fontId="3" type="noConversion"/>
  </si>
  <si>
    <t>/ K$</t>
    <phoneticPr fontId="3" type="noConversion"/>
  </si>
  <si>
    <t>Repair Cost
K$</t>
    <phoneticPr fontId="3" type="noConversion"/>
  </si>
  <si>
    <t>Outsourcing
 Price(K\)</t>
    <phoneticPr fontId="3" type="noConversion"/>
  </si>
  <si>
    <t>Cost
Reduction(K￦)</t>
    <phoneticPr fontId="3" type="noConversion"/>
  </si>
  <si>
    <t>Repair
Cost (K\)</t>
    <phoneticPr fontId="3" type="noConversion"/>
  </si>
  <si>
    <t>분류</t>
    <phoneticPr fontId="3" type="noConversion"/>
  </si>
  <si>
    <t>완료월</t>
    <phoneticPr fontId="3" type="noConversion"/>
  </si>
  <si>
    <t>*요청 수량기준</t>
    <phoneticPr fontId="3" type="noConversion"/>
  </si>
  <si>
    <t>*완료 건수기준</t>
    <phoneticPr fontId="3" type="noConversion"/>
  </si>
  <si>
    <t>Delivery</t>
    <phoneticPr fontId="3" type="noConversion"/>
  </si>
  <si>
    <t>정기수</t>
    <phoneticPr fontId="3" type="noConversion"/>
  </si>
  <si>
    <t>정기수</t>
    <phoneticPr fontId="3" type="noConversion"/>
  </si>
  <si>
    <t>기타</t>
    <phoneticPr fontId="3" type="noConversion"/>
  </si>
  <si>
    <t>Costsave
K$</t>
    <phoneticPr fontId="3" type="noConversion"/>
  </si>
  <si>
    <t>이엔아이</t>
    <phoneticPr fontId="3" type="noConversion"/>
  </si>
  <si>
    <t xml:space="preserve"> </t>
    <phoneticPr fontId="3" type="noConversion"/>
  </si>
  <si>
    <t>ATJ</t>
    <phoneticPr fontId="3" type="noConversion"/>
  </si>
  <si>
    <t>2021 AAW E-Board Repair Count(Q'ty) &amp; Cost Reduction</t>
    <phoneticPr fontId="3" type="noConversion"/>
  </si>
  <si>
    <t>2021 e-board Repair Performance</t>
    <phoneticPr fontId="3" type="noConversion"/>
  </si>
  <si>
    <t>2021 Electric Board Repair Performance</t>
    <phoneticPr fontId="3" type="noConversion"/>
  </si>
  <si>
    <t>2021 Electric Board 외주수리업체별 현황</t>
    <phoneticPr fontId="3" type="noConversion"/>
  </si>
  <si>
    <t>datacon</t>
    <phoneticPr fontId="3" type="noConversion"/>
  </si>
  <si>
    <t>강영구</t>
  </si>
  <si>
    <t>A</t>
  </si>
  <si>
    <t>1T2P</t>
  </si>
  <si>
    <t>System PC</t>
    <phoneticPr fontId="3" type="noConversion"/>
  </si>
  <si>
    <t>3T4P</t>
  </si>
  <si>
    <t>DBPB-2010</t>
  </si>
  <si>
    <t>Heater control</t>
    <phoneticPr fontId="3" type="noConversion"/>
  </si>
  <si>
    <t>유성학</t>
    <phoneticPr fontId="3" type="noConversion"/>
  </si>
  <si>
    <t>차한호</t>
    <phoneticPr fontId="3" type="noConversion"/>
  </si>
  <si>
    <t>SAW</t>
    <phoneticPr fontId="3" type="noConversion"/>
  </si>
  <si>
    <t>INVERTER</t>
    <phoneticPr fontId="3" type="noConversion"/>
  </si>
  <si>
    <t>IONIZER</t>
    <phoneticPr fontId="3" type="noConversion"/>
  </si>
  <si>
    <t>남형주</t>
    <phoneticPr fontId="3" type="noConversion"/>
  </si>
  <si>
    <t>Office</t>
    <phoneticPr fontId="3" type="noConversion"/>
  </si>
  <si>
    <t>조원종</t>
    <phoneticPr fontId="3" type="noConversion"/>
  </si>
  <si>
    <t>DISCO</t>
  </si>
  <si>
    <t>Touch Monitor</t>
    <phoneticPr fontId="3" type="noConversion"/>
  </si>
  <si>
    <t>1T3P</t>
  </si>
  <si>
    <t>한광식</t>
    <phoneticPr fontId="3" type="noConversion"/>
  </si>
  <si>
    <t>손경원</t>
    <phoneticPr fontId="3" type="noConversion"/>
  </si>
  <si>
    <t>ADLINK 8" 일체형 PC</t>
    <phoneticPr fontId="3" type="noConversion"/>
  </si>
  <si>
    <t>G</t>
  </si>
  <si>
    <t>6T1P</t>
  </si>
  <si>
    <t>AOI</t>
    <phoneticPr fontId="3" type="noConversion"/>
  </si>
  <si>
    <t>김진만</t>
    <phoneticPr fontId="3" type="noConversion"/>
  </si>
  <si>
    <t>허수웅</t>
    <phoneticPr fontId="3" type="noConversion"/>
  </si>
  <si>
    <t>김남곤</t>
    <phoneticPr fontId="3" type="noConversion"/>
  </si>
  <si>
    <t>C/A</t>
    <phoneticPr fontId="3" type="noConversion"/>
  </si>
  <si>
    <t>I/O Board</t>
    <phoneticPr fontId="3" type="noConversion"/>
  </si>
  <si>
    <t>2T3P</t>
  </si>
  <si>
    <t>MOLD</t>
    <phoneticPr fontId="3" type="noConversion"/>
  </si>
  <si>
    <t>RF-Generator</t>
    <phoneticPr fontId="3" type="noConversion"/>
  </si>
  <si>
    <t>O/S TESRER</t>
    <phoneticPr fontId="3" type="noConversion"/>
  </si>
  <si>
    <t>EPSON TEST</t>
    <phoneticPr fontId="3" type="noConversion"/>
  </si>
  <si>
    <t>REMOTE I/O Board</t>
    <phoneticPr fontId="3" type="noConversion"/>
  </si>
  <si>
    <t>Clip Bonder</t>
  </si>
  <si>
    <t>TMT</t>
  </si>
  <si>
    <t>LV1 Board</t>
  </si>
  <si>
    <t>ATP</t>
    <phoneticPr fontId="3" type="noConversion"/>
  </si>
  <si>
    <t>교육</t>
    <phoneticPr fontId="3" type="noConversion"/>
  </si>
  <si>
    <t>전다환</t>
    <phoneticPr fontId="3" type="noConversion"/>
  </si>
  <si>
    <t>IONIZER</t>
    <phoneticPr fontId="3" type="noConversion"/>
  </si>
  <si>
    <t>ASG-P030</t>
    <phoneticPr fontId="3" type="noConversion"/>
  </si>
  <si>
    <t>CEASGP030WG173I018</t>
    <phoneticPr fontId="3" type="noConversion"/>
  </si>
  <si>
    <t>보드규격
( Board# / Vender Part# / SID#)</t>
    <phoneticPr fontId="3" type="noConversion"/>
  </si>
  <si>
    <t>3T1P</t>
  </si>
  <si>
    <t>SYSTEM PC</t>
    <phoneticPr fontId="3" type="noConversion"/>
  </si>
  <si>
    <t>seren R600 13.56</t>
    <phoneticPr fontId="3" type="noConversion"/>
  </si>
  <si>
    <t>A21SB-08UY04</t>
    <phoneticPr fontId="3" type="noConversion"/>
  </si>
  <si>
    <t>B/G</t>
    <phoneticPr fontId="3" type="noConversion"/>
  </si>
  <si>
    <t>나승훈</t>
    <phoneticPr fontId="3" type="noConversion"/>
  </si>
  <si>
    <t>TCNCP</t>
    <phoneticPr fontId="3" type="noConversion"/>
  </si>
  <si>
    <t>TORAY</t>
    <phoneticPr fontId="3" type="noConversion"/>
  </si>
  <si>
    <t>08888-4327</t>
    <phoneticPr fontId="3" type="noConversion"/>
  </si>
  <si>
    <t>PCOAB BOARD</t>
    <phoneticPr fontId="3" type="noConversion"/>
  </si>
  <si>
    <t>BATTERY BOX</t>
  </si>
  <si>
    <t>19011-0000</t>
    <phoneticPr fontId="3" type="noConversion"/>
  </si>
  <si>
    <t>C</t>
    <phoneticPr fontId="3" type="noConversion"/>
  </si>
  <si>
    <t>3T3P</t>
    <phoneticPr fontId="3" type="noConversion"/>
  </si>
  <si>
    <t>BNT-500A</t>
    <phoneticPr fontId="3" type="noConversion"/>
  </si>
  <si>
    <t>Equipment</t>
    <phoneticPr fontId="3" type="noConversion"/>
  </si>
  <si>
    <t>08888-4019</t>
  </si>
  <si>
    <t>ATX3 BITS</t>
  </si>
  <si>
    <t>온습도계</t>
    <phoneticPr fontId="3" type="noConversion"/>
  </si>
  <si>
    <t>김명록</t>
    <phoneticPr fontId="3" type="noConversion"/>
  </si>
  <si>
    <t>1T4P</t>
  </si>
  <si>
    <t>OVEN</t>
    <phoneticPr fontId="3" type="noConversion"/>
  </si>
  <si>
    <t>TZ4ST</t>
    <phoneticPr fontId="3" type="noConversion"/>
  </si>
  <si>
    <t>온도 제어장비</t>
    <phoneticPr fontId="3" type="noConversion"/>
  </si>
  <si>
    <t>고규식</t>
    <phoneticPr fontId="3" type="noConversion"/>
  </si>
  <si>
    <t>UPS</t>
    <phoneticPr fontId="3" type="noConversion"/>
  </si>
  <si>
    <t>DL5115-1400jL</t>
    <phoneticPr fontId="3" type="noConversion"/>
  </si>
  <si>
    <t>장은철</t>
    <phoneticPr fontId="3" type="noConversion"/>
  </si>
  <si>
    <t>R600-0209-13</t>
    <phoneticPr fontId="3" type="noConversion"/>
  </si>
  <si>
    <t>장대호</t>
    <phoneticPr fontId="3" type="noConversion"/>
  </si>
  <si>
    <t>K&amp;S Iconn Plus</t>
    <phoneticPr fontId="3" type="noConversion"/>
  </si>
  <si>
    <t>ASSY WIRE FEED AND BITS BOARD ProCu +</t>
  </si>
  <si>
    <t>08890-4019</t>
    <phoneticPr fontId="3" type="noConversion"/>
  </si>
  <si>
    <t>김재영</t>
    <phoneticPr fontId="3" type="noConversion"/>
  </si>
  <si>
    <t>pkg G/R</t>
    <phoneticPr fontId="3" type="noConversion"/>
  </si>
  <si>
    <t>VRG-300TA</t>
    <phoneticPr fontId="3" type="noConversion"/>
  </si>
  <si>
    <t>DPR/5/P</t>
  </si>
  <si>
    <t>fuji ac servo</t>
    <phoneticPr fontId="3" type="noConversion"/>
  </si>
  <si>
    <t>Bump1</t>
  </si>
  <si>
    <t>SRD</t>
    <phoneticPr fontId="3" type="noConversion"/>
  </si>
  <si>
    <t>Motor Driver</t>
    <phoneticPr fontId="3" type="noConversion"/>
  </si>
  <si>
    <t xml:space="preserve"> </t>
    <phoneticPr fontId="3" type="noConversion"/>
  </si>
  <si>
    <t>이광학</t>
    <phoneticPr fontId="3" type="noConversion"/>
  </si>
  <si>
    <t>924C0001-10</t>
    <phoneticPr fontId="3" type="noConversion"/>
  </si>
  <si>
    <t>백윤덕</t>
    <phoneticPr fontId="3" type="noConversion"/>
  </si>
  <si>
    <t>U/F</t>
    <phoneticPr fontId="3" type="noConversion"/>
  </si>
  <si>
    <t>P50 Motor Speed Controller</t>
    <phoneticPr fontId="3" type="noConversion"/>
  </si>
  <si>
    <t>DL++</t>
    <phoneticPr fontId="3" type="noConversion"/>
  </si>
  <si>
    <t>P50-ACMTRDRV-I4</t>
    <phoneticPr fontId="3" type="noConversion"/>
  </si>
  <si>
    <t>NTS12117</t>
    <phoneticPr fontId="3" type="noConversion"/>
  </si>
  <si>
    <t>외주</t>
  </si>
  <si>
    <t>큐텍코리아</t>
  </si>
  <si>
    <t>최경철</t>
    <phoneticPr fontId="3" type="noConversion"/>
  </si>
  <si>
    <t>ICOS</t>
    <phoneticPr fontId="3" type="noConversion"/>
  </si>
  <si>
    <t>ATOS</t>
    <phoneticPr fontId="3" type="noConversion"/>
  </si>
  <si>
    <t>1009/257/6961</t>
    <phoneticPr fontId="3" type="noConversion"/>
  </si>
  <si>
    <t>P257.05_01R01</t>
    <phoneticPr fontId="3" type="noConversion"/>
  </si>
  <si>
    <t>LID/A</t>
    <phoneticPr fontId="3" type="noConversion"/>
  </si>
  <si>
    <t>DIGITAL INDICATOR</t>
    <phoneticPr fontId="3" type="noConversion"/>
  </si>
  <si>
    <t>RI-130D</t>
    <phoneticPr fontId="3" type="noConversion"/>
  </si>
  <si>
    <t>MITSBISHI</t>
    <phoneticPr fontId="3" type="noConversion"/>
  </si>
  <si>
    <t>MR-J2S-10A</t>
    <phoneticPr fontId="3" type="noConversion"/>
  </si>
  <si>
    <t>오도일</t>
    <phoneticPr fontId="3" type="noConversion"/>
  </si>
  <si>
    <t>08888-0130</t>
    <phoneticPr fontId="3" type="noConversion"/>
  </si>
  <si>
    <t>AMET DPR/5/P</t>
    <phoneticPr fontId="3" type="noConversion"/>
  </si>
  <si>
    <t>1T3P</t>
    <phoneticPr fontId="3" type="noConversion"/>
  </si>
  <si>
    <t>Mountor</t>
    <phoneticPr fontId="3" type="noConversion"/>
  </si>
  <si>
    <t>전원차폐박스</t>
    <phoneticPr fontId="3" type="noConversion"/>
  </si>
  <si>
    <t>POWER SUPPLY UNIT</t>
    <phoneticPr fontId="3" type="noConversion"/>
  </si>
  <si>
    <t>08888-1325</t>
    <phoneticPr fontId="3" type="noConversion"/>
  </si>
  <si>
    <t>5KV/127mA SMT EFO BOX</t>
    <phoneticPr fontId="3" type="noConversion"/>
  </si>
  <si>
    <t>유창환</t>
    <phoneticPr fontId="3" type="noConversion"/>
  </si>
  <si>
    <t>Mold</t>
    <phoneticPr fontId="3" type="noConversion"/>
  </si>
  <si>
    <t>ac servo msda023a1a</t>
    <phoneticPr fontId="3" type="noConversion"/>
  </si>
  <si>
    <t>panasonic msda023a1</t>
    <phoneticPr fontId="3" type="noConversion"/>
  </si>
  <si>
    <t>rys201s3-vvs</t>
    <phoneticPr fontId="3" type="noConversion"/>
  </si>
  <si>
    <t>STI</t>
    <phoneticPr fontId="3" type="noConversion"/>
  </si>
  <si>
    <t>GPU B/D</t>
    <phoneticPr fontId="3" type="noConversion"/>
  </si>
  <si>
    <t>HD6450</t>
    <phoneticPr fontId="3" type="noConversion"/>
  </si>
  <si>
    <t>유성수</t>
    <phoneticPr fontId="3" type="noConversion"/>
  </si>
  <si>
    <t>PG300RM</t>
    <phoneticPr fontId="3" type="noConversion"/>
  </si>
  <si>
    <t>mr-j3=10b</t>
    <phoneticPr fontId="3" type="noConversion"/>
  </si>
  <si>
    <t>13004800</t>
    <phoneticPr fontId="3" type="noConversion"/>
  </si>
  <si>
    <t>천석원</t>
    <phoneticPr fontId="3" type="noConversion"/>
  </si>
  <si>
    <t>Mouse</t>
    <phoneticPr fontId="3" type="noConversion"/>
  </si>
  <si>
    <t>mainboard</t>
    <phoneticPr fontId="3" type="noConversion"/>
  </si>
  <si>
    <t>Logitech</t>
    <phoneticPr fontId="3" type="noConversion"/>
  </si>
  <si>
    <t>서중권</t>
    <phoneticPr fontId="3" type="noConversion"/>
  </si>
  <si>
    <t>PU22WB</t>
    <phoneticPr fontId="3" type="noConversion"/>
  </si>
  <si>
    <t>정기수</t>
    <phoneticPr fontId="3" type="noConversion"/>
  </si>
  <si>
    <t>송종원</t>
    <phoneticPr fontId="3" type="noConversion"/>
  </si>
  <si>
    <t>수리중</t>
    <phoneticPr fontId="3" type="noConversion"/>
  </si>
  <si>
    <t>IPI-332</t>
    <phoneticPr fontId="3" type="noConversion"/>
  </si>
  <si>
    <t>5T2P</t>
    <phoneticPr fontId="3" type="noConversion"/>
  </si>
  <si>
    <t>IPI-322</t>
    <phoneticPr fontId="3" type="noConversion"/>
  </si>
  <si>
    <t>서대혁</t>
    <phoneticPr fontId="3" type="noConversion"/>
  </si>
  <si>
    <t>윤교한</t>
    <phoneticPr fontId="3" type="noConversion"/>
  </si>
  <si>
    <t>SIMCO</t>
    <phoneticPr fontId="3" type="noConversion"/>
  </si>
  <si>
    <t xml:space="preserve">전태진 </t>
    <phoneticPr fontId="3" type="noConversion"/>
  </si>
  <si>
    <t>tcncp</t>
    <phoneticPr fontId="3" type="noConversion"/>
  </si>
  <si>
    <t>asd-12c-c</t>
    <phoneticPr fontId="3" type="noConversion"/>
  </si>
  <si>
    <t>전태진</t>
    <phoneticPr fontId="3" type="noConversion"/>
  </si>
  <si>
    <t>허설빈</t>
    <phoneticPr fontId="3" type="noConversion"/>
  </si>
  <si>
    <t>NR-Part</t>
    <phoneticPr fontId="3" type="noConversion"/>
  </si>
  <si>
    <t>APC 750</t>
    <phoneticPr fontId="3" type="noConversion"/>
  </si>
  <si>
    <t>PC</t>
    <phoneticPr fontId="3" type="noConversion"/>
  </si>
  <si>
    <t>DELL 790</t>
    <phoneticPr fontId="3" type="noConversion"/>
  </si>
  <si>
    <t>Light controller</t>
    <phoneticPr fontId="3" type="noConversion"/>
  </si>
  <si>
    <t>LED POWER 402PR</t>
    <phoneticPr fontId="3" type="noConversion"/>
  </si>
  <si>
    <t>402PR</t>
    <phoneticPr fontId="3" type="noConversion"/>
  </si>
  <si>
    <t>MARKING</t>
    <phoneticPr fontId="3" type="noConversion"/>
  </si>
  <si>
    <t>SIMCO</t>
    <phoneticPr fontId="3" type="noConversion"/>
  </si>
  <si>
    <t>SMPS</t>
    <phoneticPr fontId="3" type="noConversion"/>
  </si>
  <si>
    <t>12v</t>
    <phoneticPr fontId="3" type="noConversion"/>
  </si>
  <si>
    <t>OTP 장비</t>
  </si>
  <si>
    <t>Joker#1</t>
  </si>
  <si>
    <t>OTP TEST</t>
    <phoneticPr fontId="3" type="noConversion"/>
  </si>
  <si>
    <t>김경호</t>
    <phoneticPr fontId="3" type="noConversion"/>
  </si>
  <si>
    <t>D/B</t>
    <phoneticPr fontId="3" type="noConversion"/>
  </si>
  <si>
    <t>etel controller B/D</t>
    <phoneticPr fontId="3" type="noConversion"/>
  </si>
  <si>
    <t>DSCDP121-111-000</t>
    <phoneticPr fontId="3" type="noConversion"/>
  </si>
  <si>
    <t>강영관</t>
    <phoneticPr fontId="3" type="noConversion"/>
  </si>
  <si>
    <t>P/SAW</t>
    <phoneticPr fontId="3" type="noConversion"/>
  </si>
  <si>
    <t>DFD6361</t>
    <phoneticPr fontId="3" type="noConversion"/>
  </si>
  <si>
    <t>SPINDLE INVERTER</t>
    <phoneticPr fontId="3" type="noConversion"/>
  </si>
  <si>
    <t>SE07-12W</t>
    <phoneticPr fontId="3" type="noConversion"/>
  </si>
  <si>
    <t>L1954TP</t>
    <phoneticPr fontId="3" type="noConversion"/>
  </si>
  <si>
    <t>Power board</t>
    <phoneticPr fontId="3" type="noConversion"/>
  </si>
  <si>
    <t>810NDJXB3148</t>
    <phoneticPr fontId="3" type="noConversion"/>
  </si>
  <si>
    <t>스케너</t>
    <phoneticPr fontId="3" type="noConversion"/>
  </si>
  <si>
    <t>바코드 스케너</t>
    <phoneticPr fontId="3" type="noConversion"/>
  </si>
  <si>
    <t>내부보드</t>
    <phoneticPr fontId="3" type="noConversion"/>
  </si>
  <si>
    <t>DS4208</t>
    <phoneticPr fontId="3" type="noConversion"/>
  </si>
  <si>
    <t>M1N95M97B</t>
    <phoneticPr fontId="3" type="noConversion"/>
  </si>
  <si>
    <t>D/P</t>
    <phoneticPr fontId="3" type="noConversion"/>
  </si>
  <si>
    <t>Wafer Return Tag Prinr</t>
    <phoneticPr fontId="3" type="noConversion"/>
  </si>
  <si>
    <t>Tag Print</t>
    <phoneticPr fontId="3" type="noConversion"/>
  </si>
  <si>
    <t>mr-j2s-10a</t>
    <phoneticPr fontId="3" type="noConversion"/>
  </si>
  <si>
    <t>신덕우</t>
    <phoneticPr fontId="3" type="noConversion"/>
  </si>
  <si>
    <t>박동진</t>
    <phoneticPr fontId="3" type="noConversion"/>
  </si>
  <si>
    <t>K4 인사총무</t>
    <phoneticPr fontId="3" type="noConversion"/>
  </si>
  <si>
    <t>차량번호인식 게이트</t>
    <phoneticPr fontId="3" type="noConversion"/>
  </si>
  <si>
    <t>기숙사 게이트 점검</t>
    <phoneticPr fontId="3" type="noConversion"/>
  </si>
  <si>
    <t>정문 보안실</t>
  </si>
  <si>
    <t>CCTV</t>
  </si>
  <si>
    <t>DVR # 3</t>
    <phoneticPr fontId="3" type="noConversion"/>
  </si>
  <si>
    <t>sgds-02a05a</t>
    <phoneticPr fontId="3" type="noConversion"/>
  </si>
  <si>
    <t>YASKAWA SERVO</t>
    <phoneticPr fontId="3" type="noConversion"/>
  </si>
  <si>
    <t>ESF150-24</t>
    <phoneticPr fontId="3" type="noConversion"/>
  </si>
  <si>
    <t>Reflow</t>
    <phoneticPr fontId="3" type="noConversion"/>
  </si>
  <si>
    <t>Reflow#2 VPS</t>
    <phoneticPr fontId="3" type="noConversion"/>
  </si>
  <si>
    <t>이신희</t>
    <phoneticPr fontId="3" type="noConversion"/>
  </si>
  <si>
    <t>A</t>
    <phoneticPr fontId="3" type="noConversion"/>
  </si>
  <si>
    <t>Wire Bonding</t>
    <phoneticPr fontId="3" type="noConversion"/>
  </si>
  <si>
    <t>QA LAB</t>
    <phoneticPr fontId="3" type="noConversion"/>
  </si>
  <si>
    <t>곽영삼</t>
    <phoneticPr fontId="3" type="noConversion"/>
  </si>
  <si>
    <t>QA</t>
    <phoneticPr fontId="3" type="noConversion"/>
  </si>
  <si>
    <t>전원 보드</t>
    <phoneticPr fontId="3" type="noConversion"/>
  </si>
  <si>
    <t>21-2520 V2</t>
    <phoneticPr fontId="3" type="noConversion"/>
  </si>
  <si>
    <t>Polishing machine</t>
    <phoneticPr fontId="3" type="noConversion"/>
  </si>
  <si>
    <t>이충식</t>
    <phoneticPr fontId="3" type="noConversion"/>
  </si>
  <si>
    <t>1T1P</t>
  </si>
  <si>
    <t>FLUX CLEANER</t>
    <phoneticPr fontId="3" type="noConversion"/>
  </si>
  <si>
    <t>Proface Monitor</t>
    <phoneticPr fontId="3" type="noConversion"/>
  </si>
  <si>
    <t>3280035-45</t>
    <phoneticPr fontId="3" type="noConversion"/>
  </si>
  <si>
    <t>이성곤</t>
    <phoneticPr fontId="3" type="noConversion"/>
  </si>
  <si>
    <t>K5</t>
    <phoneticPr fontId="3" type="noConversion"/>
  </si>
  <si>
    <t>MONITOR</t>
    <phoneticPr fontId="3" type="noConversion"/>
  </si>
  <si>
    <t>3280033-04</t>
    <phoneticPr fontId="3" type="noConversion"/>
  </si>
  <si>
    <t>PC SMPS</t>
    <phoneticPr fontId="3" type="noConversion"/>
  </si>
  <si>
    <t>FSP400-60PFI</t>
    <phoneticPr fontId="3" type="noConversion"/>
  </si>
  <si>
    <t>Light control</t>
    <phoneticPr fontId="3" type="noConversion"/>
  </si>
  <si>
    <t>Solder</t>
    <phoneticPr fontId="3" type="noConversion"/>
  </si>
  <si>
    <t>내부 파워</t>
    <phoneticPr fontId="3" type="noConversion"/>
  </si>
  <si>
    <t>1211-B845-3285</t>
    <phoneticPr fontId="3" type="noConversion"/>
  </si>
  <si>
    <t>20121213</t>
    <phoneticPr fontId="3" type="noConversion"/>
  </si>
  <si>
    <t>E1910PW</t>
    <phoneticPr fontId="3" type="noConversion"/>
  </si>
  <si>
    <t>208NDSK4C134</t>
    <phoneticPr fontId="3" type="noConversion"/>
  </si>
  <si>
    <t>김종한</t>
    <phoneticPr fontId="3" type="noConversion"/>
  </si>
  <si>
    <t>Flux</t>
    <phoneticPr fontId="3" type="noConversion"/>
  </si>
  <si>
    <t>cleaning</t>
    <phoneticPr fontId="3" type="noConversion"/>
  </si>
  <si>
    <t>Fan</t>
    <phoneticPr fontId="3" type="noConversion"/>
  </si>
  <si>
    <t>220AC fan</t>
    <phoneticPr fontId="3" type="noConversion"/>
  </si>
  <si>
    <t>ICONN</t>
    <phoneticPr fontId="3" type="noConversion"/>
  </si>
  <si>
    <t>Camara motor</t>
    <phoneticPr fontId="3" type="noConversion"/>
  </si>
  <si>
    <t>Micro scope</t>
    <phoneticPr fontId="3" type="noConversion"/>
  </si>
  <si>
    <t>MHAA-100W</t>
    <phoneticPr fontId="3" type="noConversion"/>
  </si>
  <si>
    <t>569-29366</t>
    <phoneticPr fontId="3" type="noConversion"/>
  </si>
  <si>
    <t>김철우</t>
    <phoneticPr fontId="3" type="noConversion"/>
  </si>
  <si>
    <t>markem</t>
    <phoneticPr fontId="3" type="noConversion"/>
  </si>
  <si>
    <t>허준영</t>
  </si>
  <si>
    <t>Bump</t>
    <phoneticPr fontId="3" type="noConversion"/>
  </si>
  <si>
    <t>Plating</t>
    <phoneticPr fontId="3" type="noConversion"/>
  </si>
  <si>
    <t>양승윤</t>
    <phoneticPr fontId="3" type="noConversion"/>
  </si>
  <si>
    <t>이성문</t>
    <phoneticPr fontId="3" type="noConversion"/>
  </si>
  <si>
    <t>B</t>
    <phoneticPr fontId="3" type="noConversion"/>
  </si>
  <si>
    <t>2T1P</t>
    <phoneticPr fontId="3" type="noConversion"/>
  </si>
  <si>
    <t>IPI-322VE</t>
    <phoneticPr fontId="3" type="noConversion"/>
  </si>
  <si>
    <t>김태식</t>
    <phoneticPr fontId="3" type="noConversion"/>
  </si>
  <si>
    <t>D/A</t>
    <phoneticPr fontId="3" type="noConversion"/>
  </si>
  <si>
    <t>Motion B/D</t>
    <phoneticPr fontId="3" type="noConversion"/>
  </si>
  <si>
    <t>ESEc 2100   Ars-310/5UL</t>
    <phoneticPr fontId="3" type="noConversion"/>
  </si>
  <si>
    <t>Ars-310/5UL</t>
  </si>
  <si>
    <t>김정훈</t>
    <phoneticPr fontId="3" type="noConversion"/>
  </si>
  <si>
    <t>외주수리중</t>
    <phoneticPr fontId="3" type="noConversion"/>
  </si>
  <si>
    <t>박진성</t>
    <phoneticPr fontId="3" type="noConversion"/>
  </si>
  <si>
    <t>EE</t>
    <phoneticPr fontId="3" type="noConversion"/>
  </si>
  <si>
    <t>EE2</t>
    <phoneticPr fontId="3" type="noConversion"/>
  </si>
  <si>
    <t>Plasma</t>
    <phoneticPr fontId="3" type="noConversion"/>
  </si>
  <si>
    <t>R600-6227-13R1</t>
    <phoneticPr fontId="3" type="noConversion"/>
  </si>
  <si>
    <t>무상</t>
    <phoneticPr fontId="3" type="noConversion"/>
  </si>
  <si>
    <t>수리불가</t>
  </si>
  <si>
    <t>외주수리완료</t>
  </si>
  <si>
    <t>ESF300-24</t>
    <phoneticPr fontId="3" type="noConversion"/>
  </si>
  <si>
    <t>내부 보드 및 팬</t>
    <phoneticPr fontId="3" type="noConversion"/>
  </si>
  <si>
    <t>폐기</t>
    <phoneticPr fontId="3" type="noConversion"/>
  </si>
  <si>
    <t>Pototion board</t>
    <phoneticPr fontId="3" type="noConversion"/>
  </si>
  <si>
    <t>5000-0104 REV 01</t>
    <phoneticPr fontId="3" type="noConversion"/>
  </si>
  <si>
    <t>강성열</t>
    <phoneticPr fontId="3" type="noConversion"/>
  </si>
  <si>
    <t>yaskawa</t>
    <phoneticPr fontId="3" type="noConversion"/>
  </si>
  <si>
    <t>sgdv1R01A1A</t>
    <phoneticPr fontId="3" type="noConversion"/>
  </si>
  <si>
    <t>최창경</t>
    <phoneticPr fontId="3" type="noConversion"/>
  </si>
  <si>
    <t>P</t>
  </si>
  <si>
    <t>PLC CPU</t>
    <phoneticPr fontId="3" type="noConversion"/>
  </si>
  <si>
    <t>GM6-CPUA/B/C</t>
    <phoneticPr fontId="3" type="noConversion"/>
  </si>
  <si>
    <t>윤중현</t>
    <phoneticPr fontId="3" type="noConversion"/>
  </si>
  <si>
    <t>수리완료</t>
    <phoneticPr fontId="3" type="noConversion"/>
  </si>
  <si>
    <t>ac servo MR-J2S-10A</t>
    <phoneticPr fontId="3" type="noConversion"/>
  </si>
  <si>
    <t>ac servo sgdv1R01A1A</t>
    <phoneticPr fontId="3" type="noConversion"/>
  </si>
  <si>
    <t>김현만</t>
    <phoneticPr fontId="3" type="noConversion"/>
  </si>
  <si>
    <t>VPS</t>
    <phoneticPr fontId="3" type="noConversion"/>
  </si>
  <si>
    <t>LK-2001</t>
    <phoneticPr fontId="3" type="noConversion"/>
  </si>
  <si>
    <t>전자실</t>
    <phoneticPr fontId="3" type="noConversion"/>
  </si>
  <si>
    <t>Other</t>
    <phoneticPr fontId="3" type="noConversion"/>
  </si>
  <si>
    <t>연구기술직 필수교육</t>
    <phoneticPr fontId="3" type="noConversion"/>
  </si>
  <si>
    <t>전기전자기초</t>
    <phoneticPr fontId="3" type="noConversion"/>
  </si>
  <si>
    <t>최준영</t>
    <phoneticPr fontId="3" type="noConversion"/>
  </si>
  <si>
    <t>N/A</t>
    <phoneticPr fontId="3" type="noConversion"/>
  </si>
  <si>
    <t>오순종</t>
    <phoneticPr fontId="3" type="noConversion"/>
  </si>
  <si>
    <t>Inspection Kit</t>
    <phoneticPr fontId="3" type="noConversion"/>
  </si>
  <si>
    <t>W/B</t>
    <phoneticPr fontId="3" type="noConversion"/>
  </si>
  <si>
    <t>Vision LED</t>
    <phoneticPr fontId="3" type="noConversion"/>
  </si>
  <si>
    <t>EOL</t>
    <phoneticPr fontId="3" type="noConversion"/>
  </si>
  <si>
    <t>O/S TESTER</t>
    <phoneticPr fontId="3" type="noConversion"/>
  </si>
  <si>
    <t>11D</t>
    <phoneticPr fontId="3" type="noConversion"/>
  </si>
  <si>
    <t>POWER SUPPLY</t>
    <phoneticPr fontId="3" type="noConversion"/>
  </si>
  <si>
    <t>F/C</t>
    <phoneticPr fontId="3" type="noConversion"/>
  </si>
  <si>
    <t>FP-VM-10-SO</t>
    <phoneticPr fontId="3" type="noConversion"/>
  </si>
  <si>
    <t>HP</t>
    <phoneticPr fontId="3" type="noConversion"/>
  </si>
  <si>
    <t>2T2P</t>
  </si>
  <si>
    <t>K&amp;S Iconn</t>
    <phoneticPr fontId="3" type="noConversion"/>
  </si>
  <si>
    <t>김병운</t>
    <phoneticPr fontId="3" type="noConversion"/>
  </si>
  <si>
    <t>SMT</t>
    <phoneticPr fontId="3" type="noConversion"/>
  </si>
  <si>
    <t>LG</t>
    <phoneticPr fontId="3" type="noConversion"/>
  </si>
  <si>
    <t>N610168882AA</t>
    <phoneticPr fontId="3" type="noConversion"/>
  </si>
  <si>
    <t>ENCHANCED BACPLANE</t>
    <phoneticPr fontId="3" type="noConversion"/>
  </si>
  <si>
    <t>08888-4165</t>
    <phoneticPr fontId="3" type="noConversion"/>
  </si>
  <si>
    <t>08888-4303</t>
    <phoneticPr fontId="3" type="noConversion"/>
  </si>
  <si>
    <t>WIRE CLAMP DRIVER PCB ASSY</t>
    <phoneticPr fontId="3" type="noConversion"/>
  </si>
  <si>
    <t>AC Servo Driver</t>
    <phoneticPr fontId="3" type="noConversion"/>
  </si>
  <si>
    <t>SGDV-R90A01A</t>
    <phoneticPr fontId="3" type="noConversion"/>
  </si>
  <si>
    <t>KIN-1500AP</t>
    <phoneticPr fontId="3" type="noConversion"/>
  </si>
  <si>
    <t>PARKER INDEXER BOARD</t>
    <phoneticPr fontId="3" type="noConversion"/>
  </si>
  <si>
    <t>PARKER</t>
    <phoneticPr fontId="3" type="noConversion"/>
  </si>
  <si>
    <t>송성국</t>
    <phoneticPr fontId="3" type="noConversion"/>
  </si>
  <si>
    <t>STI I-SORT Maxx</t>
  </si>
  <si>
    <t>CPCI-6965DZ/T75</t>
  </si>
  <si>
    <t>CPU B/D</t>
    <phoneticPr fontId="3" type="noConversion"/>
  </si>
  <si>
    <t>인사총무</t>
    <phoneticPr fontId="3" type="noConversion"/>
  </si>
  <si>
    <t>복지동</t>
    <phoneticPr fontId="3" type="noConversion"/>
  </si>
  <si>
    <t>스피드 게이트</t>
    <phoneticPr fontId="3" type="noConversion"/>
  </si>
  <si>
    <t>A7976-00</t>
    <phoneticPr fontId="3" type="noConversion"/>
  </si>
  <si>
    <t>PAKGE SAW</t>
    <phoneticPr fontId="3" type="noConversion"/>
  </si>
  <si>
    <t>SOLDER</t>
    <phoneticPr fontId="3" type="noConversion"/>
  </si>
  <si>
    <t>TSK300TX</t>
    <phoneticPr fontId="3" type="noConversion"/>
  </si>
  <si>
    <t>EIDE HDD</t>
    <phoneticPr fontId="3" type="noConversion"/>
  </si>
  <si>
    <t>Seagate DB35.3</t>
    <phoneticPr fontId="3" type="noConversion"/>
  </si>
  <si>
    <t>Source 2ch 12V</t>
    <phoneticPr fontId="3" type="noConversion"/>
  </si>
  <si>
    <t>9RXF53JW</t>
    <phoneticPr fontId="3" type="noConversion"/>
  </si>
  <si>
    <t>1004-A453-2562</t>
    <phoneticPr fontId="3" type="noConversion"/>
  </si>
  <si>
    <t>Sensor Cable</t>
    <phoneticPr fontId="3" type="noConversion"/>
  </si>
  <si>
    <t>Cable</t>
    <phoneticPr fontId="3" type="noConversion"/>
  </si>
  <si>
    <t>K&amp;S Ultra</t>
    <phoneticPr fontId="3" type="noConversion"/>
  </si>
  <si>
    <t>08868-0095</t>
    <phoneticPr fontId="3" type="noConversion"/>
  </si>
  <si>
    <t>CCU BOX</t>
    <phoneticPr fontId="3" type="noConversion"/>
  </si>
  <si>
    <t>ac servo</t>
    <phoneticPr fontId="3" type="noConversion"/>
  </si>
  <si>
    <t>maddt1207a41</t>
    <phoneticPr fontId="3" type="noConversion"/>
  </si>
  <si>
    <t>sws150-5</t>
    <phoneticPr fontId="3" type="noConversion"/>
  </si>
  <si>
    <t>powersupply 5v</t>
    <phoneticPr fontId="3" type="noConversion"/>
  </si>
  <si>
    <t>변동성</t>
    <phoneticPr fontId="3" type="noConversion"/>
  </si>
  <si>
    <t>A404K</t>
    <phoneticPr fontId="3" type="noConversion"/>
  </si>
  <si>
    <t>BASLER</t>
    <phoneticPr fontId="3" type="noConversion"/>
  </si>
  <si>
    <t>김재국</t>
    <phoneticPr fontId="3" type="noConversion"/>
  </si>
  <si>
    <t>K4기술3팀</t>
    <phoneticPr fontId="3" type="noConversion"/>
  </si>
  <si>
    <t>Notebook</t>
    <phoneticPr fontId="3" type="noConversion"/>
  </si>
  <si>
    <t>HP Elitebook 745</t>
    <phoneticPr fontId="3" type="noConversion"/>
  </si>
  <si>
    <t>스미스테크</t>
    <phoneticPr fontId="3" type="noConversion"/>
  </si>
  <si>
    <t>기타</t>
  </si>
  <si>
    <t>5CG0379X0R</t>
    <phoneticPr fontId="3" type="noConversion"/>
  </si>
  <si>
    <t>EE1</t>
  </si>
  <si>
    <t>SJY-2120A</t>
    <phoneticPr fontId="3" type="noConversion"/>
  </si>
  <si>
    <t>21057808</t>
    <phoneticPr fontId="3" type="noConversion"/>
  </si>
  <si>
    <t>CAMERA A404K</t>
    <phoneticPr fontId="3" type="noConversion"/>
  </si>
  <si>
    <t>김선일</t>
    <phoneticPr fontId="3" type="noConversion"/>
  </si>
  <si>
    <t>수리중</t>
    <phoneticPr fontId="3" type="noConversion"/>
  </si>
  <si>
    <t>F</t>
    <phoneticPr fontId="3" type="noConversion"/>
  </si>
  <si>
    <t>5T1P</t>
    <phoneticPr fontId="3" type="noConversion"/>
  </si>
  <si>
    <t>ILLUMINATOR BOX</t>
    <phoneticPr fontId="3" type="noConversion"/>
  </si>
  <si>
    <t>정기수</t>
    <phoneticPr fontId="3" type="noConversion"/>
  </si>
  <si>
    <t>자체</t>
    <phoneticPr fontId="3" type="noConversion"/>
  </si>
  <si>
    <t>강명국</t>
    <phoneticPr fontId="3" type="noConversion"/>
  </si>
  <si>
    <t>569-24435</t>
    <phoneticPr fontId="3" type="noConversion"/>
  </si>
  <si>
    <t>569-28179</t>
    <phoneticPr fontId="3" type="noConversion"/>
  </si>
  <si>
    <t>Scope Lamp</t>
    <phoneticPr fontId="3" type="noConversion"/>
  </si>
  <si>
    <t>2021-03-03</t>
  </si>
  <si>
    <t>B/E</t>
  </si>
  <si>
    <t>한미</t>
  </si>
  <si>
    <t>Driver</t>
  </si>
  <si>
    <t>sgdv-2r9e11a</t>
  </si>
  <si>
    <t xml:space="preserve">error 720:jog test 
    motor no :sgmmv-a3e2a21 spr 보유
    pn002.2    0001 -&gt; 0100 앱솔루트encode를 incrimantal로 사용가 
                   0001이면  810 error 나옴 (중요)
   pn 50B     8887 -&gt; 888B Reverse allwed 
   pn 50A             -&gt; 8881  FWD  allowed
  cn4    2 U  4 G
           1 V  3 W
  cn3   L2 (-)  L1 (+24V)   
           G      C1 (+24V)
           G      C2 (-)
 cn2    1   2  servo driver encode connector 
        + 3  4 -
           5  6
  한미 장비에서 8개  driver parameter 상이함 </t>
  </si>
  <si>
    <t/>
  </si>
  <si>
    <t>IOINIZER</t>
  </si>
  <si>
    <t>ANAMI</t>
  </si>
  <si>
    <t>제어보드</t>
  </si>
  <si>
    <t xml:space="preserve">iONIZER </t>
  </si>
  <si>
    <t>폐기 이온아이져에서 부품 장탈:부품 팬 220V 3EA
제어 보드 3EA
    전원보드
   고압 제어보드</t>
  </si>
  <si>
    <t>2021-03-02</t>
  </si>
  <si>
    <t>Touch 불량:중고 touch 교체 후 line에서 test 예정.</t>
  </si>
  <si>
    <t>DVR # 7</t>
  </si>
  <si>
    <t>DVR #7 HDD 2TB 인식못함:HDD 탈 부착 및 하드디스크 포맷 및 재 설정</t>
  </si>
  <si>
    <t>스피드게이트</t>
  </si>
  <si>
    <t>리모컨수신기</t>
  </si>
  <si>
    <t>정문 및 복지동 2EA
리모컨 수신기 동작안함:리모컨 및 수신기 교체</t>
  </si>
  <si>
    <t>이현철</t>
  </si>
  <si>
    <t>OTHER</t>
  </si>
  <si>
    <t>자동화</t>
  </si>
  <si>
    <t>Reel Tower</t>
  </si>
  <si>
    <t>I/O B/D</t>
  </si>
  <si>
    <t>Input out:점검후 보드 교체</t>
  </si>
  <si>
    <t xml:space="preserve"> ac servo</t>
  </si>
  <si>
    <t>error 51:원인: encoder 
       7800교환</t>
  </si>
  <si>
    <t>MITIBISHI AC SERVO   MR-J2S-10a</t>
  </si>
  <si>
    <t xml:space="preserve"> MR-J2S-10a</t>
  </si>
  <si>
    <t>error 52 :원인: encoder 불량  
         7800 교환</t>
  </si>
  <si>
    <t>Handler PC</t>
  </si>
  <si>
    <t>REMOTE I/O B/D</t>
  </si>
  <si>
    <t>:</t>
  </si>
  <si>
    <t>HANMI</t>
  </si>
  <si>
    <t>MC-16F-HM</t>
  </si>
  <si>
    <t>주정민</t>
  </si>
  <si>
    <t>기술연구소</t>
  </si>
  <si>
    <t>Electromigration</t>
  </si>
  <si>
    <t>Resistor check board</t>
  </si>
  <si>
    <t>MAX4638 // MAX4639 BURN:15M 옴에서 ERROR</t>
  </si>
  <si>
    <t>RB0313</t>
  </si>
  <si>
    <t>SIMCO 1FAN</t>
  </si>
  <si>
    <t>FAN 안돌아감, POINT 부식:점검 결과 부속품 단종으로 폐기 진행.</t>
  </si>
  <si>
    <t>*054940090184536*</t>
  </si>
  <si>
    <t>조현익</t>
  </si>
  <si>
    <t>IPI-220</t>
  </si>
  <si>
    <t>DECAY TIME 안나옴.:</t>
  </si>
  <si>
    <t>소성환</t>
  </si>
  <si>
    <t>K&amp;S ICONN PULS</t>
  </si>
  <si>
    <t>XY AMP ASSEMBLY (LA/H)</t>
  </si>
  <si>
    <t>08888-1113</t>
  </si>
  <si>
    <t>BOOTING FAIL:</t>
  </si>
  <si>
    <t>Plassma</t>
  </si>
  <si>
    <t>plasma m/c</t>
  </si>
  <si>
    <t>PC MAIN BOARD</t>
  </si>
  <si>
    <t>H61H1</t>
  </si>
  <si>
    <t>No Booting :모든 콘댄서 교체</t>
  </si>
  <si>
    <t>BA5903441A</t>
  </si>
  <si>
    <t>이현동</t>
  </si>
  <si>
    <t>Connector 제작</t>
  </si>
  <si>
    <t>커넥터 제작:</t>
  </si>
  <si>
    <t>임현</t>
  </si>
  <si>
    <t>2021-02-26</t>
  </si>
  <si>
    <t>EE1T</t>
  </si>
  <si>
    <t>온도제어기</t>
  </si>
  <si>
    <t>작동 안함:정전압 칩 out으로 교체 및 제조립</t>
  </si>
  <si>
    <t>PM</t>
  </si>
  <si>
    <t>W/G/B</t>
  </si>
  <si>
    <t>pg3000</t>
  </si>
  <si>
    <t>SERVO DRIVER</t>
  </si>
  <si>
    <t>mr- j4 / mr- j5</t>
  </si>
  <si>
    <t>mr-configurator 2 software setup ( mr-j4  mr-j5 용):mr-configurator 2 software setup ( mr-j4  mr-j5 용) installation test  구동</t>
  </si>
  <si>
    <t>handller</t>
  </si>
  <si>
    <t>MAIN BOARD FAN</t>
  </si>
  <si>
    <t>PC BOARD</t>
  </si>
  <si>
    <t>매인 보드 시피유 팬 회전 안함:다른 보드에서 팬 장탈하여 장비 보드에 장착
정상 가동</t>
  </si>
  <si>
    <t>Esec 2100</t>
  </si>
  <si>
    <t>동작 불량:</t>
  </si>
  <si>
    <t>박병주</t>
  </si>
  <si>
    <t>2021-02-25</t>
  </si>
  <si>
    <t>PLASAMA</t>
  </si>
  <si>
    <t>SL-T11R</t>
  </si>
  <si>
    <t>:다이오드 out (JY)</t>
  </si>
  <si>
    <t>p/saw</t>
  </si>
  <si>
    <t>disco</t>
  </si>
  <si>
    <t>maddt1207L01</t>
  </si>
  <si>
    <t>1. new board parameter copy 
2. ERROR 90 others :parameter copy  ( pr 4d pr 50 vaule 값 초과는 default set 값에서 나옴)
                     그냥 Copy하면 정상 작동함
others ERROR 220uF OUT (SMD 220UF 6.3V)</t>
  </si>
  <si>
    <t>ET1729L</t>
  </si>
  <si>
    <t>touch monitor</t>
  </si>
  <si>
    <t>전원 불량.:저항,콘덴서,패널교체</t>
  </si>
  <si>
    <t>주용철</t>
  </si>
  <si>
    <t>Bumping</t>
  </si>
  <si>
    <t>BASLER A404k</t>
  </si>
  <si>
    <t>scan중 camera가 꺼지는 현상이 발생.이후 재 booting을 수차례 반복해야 camera가 동작함.scan중 camera 꺼짐 증상 주기가 짧아짐. 업체 확인결과 camera 수명 문제라고 함.:</t>
  </si>
  <si>
    <t>21104576</t>
  </si>
  <si>
    <t>PLATING</t>
  </si>
  <si>
    <t>Inverter</t>
  </si>
  <si>
    <t>POWER OUT:</t>
  </si>
  <si>
    <t>김효천</t>
  </si>
  <si>
    <t>2021-02-24</t>
  </si>
  <si>
    <t>REFLOW HELLER</t>
  </si>
  <si>
    <t>HC1 B/D</t>
  </si>
  <si>
    <t>간혈적 통신 ERROR:26ls32</t>
  </si>
  <si>
    <t>FD8353</t>
  </si>
  <si>
    <t xml:space="preserve">K&amp;S Iconn </t>
  </si>
  <si>
    <t>I/O TEMP CONTROLLED ILLUM PCB ASSY</t>
  </si>
  <si>
    <t>08828-4010</t>
  </si>
  <si>
    <t>Temp Error:</t>
  </si>
  <si>
    <t>Decay time,ion값 불량:point pin , fan , 장비 all cleaning</t>
  </si>
  <si>
    <t>PROTEC</t>
  </si>
  <si>
    <t>AJINEXTEK BIHR</t>
  </si>
  <si>
    <t>simco</t>
  </si>
  <si>
    <t xml:space="preserve">사용 기간이 약 15년 언저리로 Decay time &amp; balance 유지/관리가 힘든 이오나이저는 반납 :해당 IONIZER 점검 진행 후 부속품 단종으로 폐기 진행 </t>
  </si>
  <si>
    <t>*500940094312571*/*033240094312466*/*075040094312780*/*050940094312580*/*044040094242553*</t>
  </si>
  <si>
    <t>진선규</t>
  </si>
  <si>
    <t>2021-02-23</t>
  </si>
  <si>
    <t>전원 안들어옴.:inverter 퓨즈 out</t>
  </si>
  <si>
    <t>Datacon 8800</t>
  </si>
  <si>
    <t>CAN 통신 B/D</t>
  </si>
  <si>
    <t>:fet 교체</t>
  </si>
  <si>
    <t>:부품수급불가</t>
  </si>
  <si>
    <t>:이상없음</t>
  </si>
  <si>
    <t>reflow</t>
  </si>
  <si>
    <t>LVK-TMTRMR-7515</t>
  </si>
  <si>
    <t>pc</t>
  </si>
  <si>
    <t>WINDOWS 7 설치 랜선 사용X:Windows7 설치 완료.</t>
  </si>
  <si>
    <t>Helleroven</t>
  </si>
  <si>
    <t>HELLER REFLOW</t>
  </si>
  <si>
    <t>제어PC</t>
  </si>
  <si>
    <t>12V &amp; 5V short :출력 전원 12V와 5V 쇼트로 심하게 탔음.
우선 분해하여 모든 콘덴서 교체 모든 TR 점검 이상무!
조립하여 전원 인가 했으나 출력 안나옴
PWM chip 중고로 교체 했으나 같은 증상!
각 트렌스 점검 및 회로내 저항 점검중</t>
  </si>
  <si>
    <t>신소안</t>
  </si>
  <si>
    <t>IOINZER</t>
  </si>
  <si>
    <t>ION 값 불량, :고압 2EA OUT ,POINT PIN 6 OUT  * 11년 정도 사용된 이오나이저이며, 수리 비용이 많이 들어서 폐기 진행</t>
  </si>
  <si>
    <t>101101014</t>
  </si>
  <si>
    <t xml:space="preserve">System PC </t>
  </si>
  <si>
    <t>Booting Fail:</t>
  </si>
  <si>
    <t>12V &amp; 5V short :출력 전원 12V와 5V 쇼트로 심하게 탔음.
우선 분해하여 모든 콘덴서 교체 모든 TR 점검 이상무!
조립하여 전원 인가 했으나 출력 안나옴
PWM chip 중고로 교체 했으나 같은 증상!
각 트렌스 점검 및 회로내 저항 점검중
전원을 연결하고 출력을 확인하니 5V는 정상이였다 그럼 PWM chip는 정상! 나머지 다중전압 출력 트랜스를 확인하고 그에 걸려있는 CL21 Metallized Polyester Film Capacitor을 측정 하니 OUT 되여 있었다 것은 멀정하고 잘 죽지 않는 부품이라 관과 하였다 맨 아래 사진에 제품으로 교체 후 정상 작동 완료</t>
  </si>
  <si>
    <t>EST300TST</t>
  </si>
  <si>
    <t>FC</t>
  </si>
  <si>
    <t>S/B/A</t>
  </si>
  <si>
    <t>AC SERVO  DRIVER</t>
  </si>
  <si>
    <t>SGDV-5R5A01A</t>
  </si>
  <si>
    <t>증상 모름:ERROR 확인 410 부족 전원
주 전원 이상</t>
  </si>
  <si>
    <t>08Seemex065</t>
  </si>
  <si>
    <t>IPI-321</t>
  </si>
  <si>
    <t>사용 기간이 약 15년 언저리로 Decay time &amp; balance 유지/관리가 힘든 이오나이저는 반납 :현재 ionizer 보다 2단계 낮은 제품이며, 수리를 진행하면 유지 보수 및 가격적인 면에서 손해로 판단되어 폐기 진행</t>
  </si>
  <si>
    <t>060700826 / N/A</t>
  </si>
  <si>
    <t>2021-02-22</t>
  </si>
  <si>
    <t>출력 약함 / 내부 SMPS 2 EA에 모든 콘덴서 교체:출력 약함 / 내부 SMPS 2 EA에 모든 콘덴서 교체</t>
  </si>
  <si>
    <t>김민석</t>
  </si>
  <si>
    <t>PSI (가온)</t>
  </si>
  <si>
    <t>Vision B/D</t>
  </si>
  <si>
    <t>신호는 들어오나 작동안됨 모션에러:</t>
  </si>
  <si>
    <t>신명호</t>
  </si>
  <si>
    <t>toray</t>
  </si>
  <si>
    <t>MOTOR 구동 안됨  OTHER ERROR #22 #16 :옆장비 GOOD DRIVER  PARA COPY</t>
  </si>
  <si>
    <t>ETEL</t>
  </si>
  <si>
    <t>:Z DIODE 교체</t>
  </si>
  <si>
    <t>ETCH (BT-1) Plasma</t>
  </si>
  <si>
    <t>AUTO MATCHING</t>
  </si>
  <si>
    <t>ATH-50</t>
  </si>
  <si>
    <t xml:space="preserve">부품 구매의로:제조에서 고전압 세라믹 콘덴서 SF-60 50pF ±10% DC 11Kv와 MU825S-13 AC 110V FAN 구매 의뢰하여 부품 검색!
팬은 있으나 세라믹 콘덴서 못 찾음
 </t>
  </si>
  <si>
    <t>347</t>
  </si>
  <si>
    <t>김정석</t>
  </si>
  <si>
    <t>SAT</t>
  </si>
  <si>
    <t>system pc</t>
  </si>
  <si>
    <t>CPU 온도 비정상 상승으로 인한 Program 실행불가:서멀구리스 재도포 및 CPU Fan 교체</t>
  </si>
  <si>
    <t xml:space="preserve">ESF300-24 </t>
  </si>
  <si>
    <t>Power Supply 점검:</t>
  </si>
  <si>
    <t>MITSBISHI AC Servo Driver</t>
  </si>
  <si>
    <t xml:space="preserve">MR-J2S-10A </t>
  </si>
  <si>
    <t>E9 ERROR:E9 ERROR</t>
  </si>
  <si>
    <t>최경희</t>
  </si>
  <si>
    <t>패널 출력 안됨.:FET 불량으로 교체 후 정상 작동 확인 .</t>
  </si>
  <si>
    <t>Booting중 Donw 현상:</t>
  </si>
  <si>
    <t>ASM</t>
  </si>
  <si>
    <t>03091023-03</t>
  </si>
  <si>
    <t>Conector 및 PCB 동판 파손:</t>
  </si>
  <si>
    <t>신동삼</t>
  </si>
  <si>
    <t>공작실</t>
  </si>
  <si>
    <t>SONY</t>
  </si>
  <si>
    <t>밀링머신 디지털 박스</t>
  </si>
  <si>
    <t>전면부 디스플레이 출력안됨:PWM IC 교체</t>
  </si>
  <si>
    <t>2021-02-19</t>
  </si>
  <si>
    <t>invereter</t>
  </si>
  <si>
    <t>ip5a</t>
  </si>
  <si>
    <t>:파트수급불가</t>
  </si>
  <si>
    <t>K&amp;S Icon</t>
  </si>
  <si>
    <t>Bits agc error :Bits 관련 저항 콘덴서 IC 교체.</t>
  </si>
  <si>
    <t>Bits agc error:1030 IC , 콘덴서 , 저항 교체.</t>
  </si>
  <si>
    <t>김두환</t>
  </si>
  <si>
    <t>서우 ON-Load</t>
  </si>
  <si>
    <t>PLC MODULE</t>
  </si>
  <si>
    <t>G6F-PP3D</t>
  </si>
  <si>
    <t>:콘덴서 교체</t>
  </si>
  <si>
    <t>TNCNP</t>
  </si>
  <si>
    <t>AC SERVO DRIVER(</t>
  </si>
  <si>
    <t>msda012a1a</t>
  </si>
  <si>
    <t>parameter 변경 7D 3==&gt;0 :    panatum 3.72 변경시 ENTER 눌러야됨</t>
  </si>
  <si>
    <t>휴가</t>
  </si>
  <si>
    <t>휴가:휴가</t>
  </si>
  <si>
    <t>OFFLODER</t>
  </si>
  <si>
    <t>AC SERVO DRIVER</t>
  </si>
  <si>
    <t>MBDDT02A1</t>
  </si>
  <si>
    <t xml:space="preserve">PM 보유 SPAIR DRIVER  증상 모름  :servo repair  all c 
test good </t>
  </si>
  <si>
    <t>이동규</t>
  </si>
  <si>
    <t>2021-02-18</t>
  </si>
  <si>
    <t>L1742PEU</t>
  </si>
  <si>
    <t>전원 안나옴.:패널 연결 케이블 손상으로 대체품 사용. 전원단 board 콘덴서 all 교체.</t>
  </si>
  <si>
    <t>mr-j2s10a</t>
  </si>
  <si>
    <t xml:space="preserve">error 52 :전자실 spair board  pr copy test 
장비 정상 동작 확인 inform </t>
  </si>
  <si>
    <t>전명원</t>
  </si>
  <si>
    <t>나르미</t>
  </si>
  <si>
    <t>충전기</t>
  </si>
  <si>
    <t>DL-600W</t>
  </si>
  <si>
    <t xml:space="preserve">출력값이 정상적으로 나오지 않음.:콘덴서 ALL 교체. BOARD 소자 점검. </t>
  </si>
  <si>
    <t>COMI-SD414</t>
  </si>
  <si>
    <t>Touch Momitor</t>
  </si>
  <si>
    <t>이희원</t>
  </si>
  <si>
    <t>현관 안내</t>
  </si>
  <si>
    <t>전기 라디에이터</t>
  </si>
  <si>
    <t>라디에이터</t>
  </si>
  <si>
    <t>1700W</t>
  </si>
  <si>
    <t>전원 안들어옴:조정부 분해 점검!
온도퓨즈 S.E.S 250V 15A 126℃ out 되어 교체 후
조립 정상 작동</t>
  </si>
  <si>
    <t>2021-02-17</t>
  </si>
  <si>
    <t xml:space="preserve">ION 값 불량, FAN 동작 안함,:point pin,fan,tl062 ic 교체, 장비 all cleaning  </t>
  </si>
  <si>
    <t xml:space="preserve">ION 값 불량:point pin 교체 장비 all cleaning </t>
  </si>
  <si>
    <t>FAN 동작 안함,:부속품 단종으로 폐기 진행.</t>
  </si>
  <si>
    <t>SCAN</t>
  </si>
  <si>
    <t>PIOC-G3/F</t>
  </si>
  <si>
    <t>:max232 교체</t>
  </si>
  <si>
    <t>LHM3004/326</t>
  </si>
  <si>
    <t>BACKEND</t>
  </si>
  <si>
    <t>Touch Motor</t>
  </si>
  <si>
    <t>SL-150-BTF</t>
  </si>
  <si>
    <t>전원 안들어옴:SMPS 12V3.5A OUT되어
분해 후 내부 콘덴서 보두 교체(출력 콘덴서 터짐)
조립 후 정상 작동</t>
  </si>
  <si>
    <t>100708 10087 SLD002</t>
  </si>
  <si>
    <t>안세왕</t>
  </si>
  <si>
    <t>Chip Mount</t>
  </si>
  <si>
    <t>Motion Control B/D</t>
  </si>
  <si>
    <t xml:space="preserve">MOTOR 떨림 :점검 이상무 </t>
  </si>
  <si>
    <t>전원 불량:point pin cleaning , 전원 board 점검</t>
  </si>
  <si>
    <t>SGDV2R8A11A&amp;B</t>
  </si>
  <si>
    <t>F10  ERROR 2개
FL-2 ERROR 1개 :c all 교환 F10 ERROR  JOG TEST시 PN 50A.3 = 8  정역 방향 
                                                      PN 50B,0 = 8
                                                      PN 00B.2 =1 단상지원 
FL-2 :ERROR PROGRAM CHIP 이상으로 수리 불가</t>
  </si>
  <si>
    <t>POWERSCAN PBT9500</t>
  </si>
  <si>
    <t>스켄 작동 안됨:점검중</t>
  </si>
  <si>
    <t>E16C09724</t>
  </si>
  <si>
    <t>구용회</t>
  </si>
  <si>
    <t>Wire Clamp 동작 불량:Wire Clamp 동작 불량</t>
  </si>
  <si>
    <t>Communication Error:Communication Error</t>
  </si>
  <si>
    <t>BAR CODE</t>
  </si>
  <si>
    <t>scanner</t>
  </si>
  <si>
    <t>Scanner Board</t>
  </si>
  <si>
    <t>스켄 작동 안됨:메인칩 out로 수리 불가</t>
  </si>
  <si>
    <t>2021-02-16</t>
  </si>
  <si>
    <t>FCBGA</t>
  </si>
  <si>
    <t>FP-VM-10-MO</t>
  </si>
  <si>
    <t>화면이 켜지지 않음.:back light 교체 . 10.4 back light 대체품 9.5 back light 사용. 10.4 back light 구매중.</t>
  </si>
  <si>
    <t>강주형</t>
  </si>
  <si>
    <t>LS 산전</t>
  </si>
  <si>
    <t>24V Power Supply</t>
  </si>
  <si>
    <t>GM6-PAFA</t>
  </si>
  <si>
    <t>오재효</t>
  </si>
  <si>
    <t>APM MOLD</t>
  </si>
  <si>
    <t>Pendant</t>
  </si>
  <si>
    <t>GT2505HS-VTBD</t>
  </si>
  <si>
    <t>screen print</t>
  </si>
  <si>
    <t>madht1505e</t>
  </si>
  <si>
    <t>error 18:원인 과speed 
        회생 tr 
 조치: all c 교환
         panatum 5.0 installation</t>
  </si>
  <si>
    <t>W/B/G</t>
  </si>
  <si>
    <t>pg300</t>
  </si>
  <si>
    <t>ac servo yaskawa</t>
  </si>
  <si>
    <t>SGDM-01bda</t>
  </si>
  <si>
    <t>PARAMETER COPY :SPAIR DRIVER PARAMETER COPY</t>
  </si>
  <si>
    <t>이정현</t>
  </si>
  <si>
    <t>Bumping PHOTO</t>
  </si>
  <si>
    <t>FOUP CLEANER</t>
  </si>
  <si>
    <t>syatem pc</t>
  </si>
  <si>
    <t>BOOTING ERROR:POWER 교체</t>
  </si>
  <si>
    <t>oven</t>
  </si>
  <si>
    <t>KACN</t>
  </si>
  <si>
    <t>KSP-41S</t>
  </si>
  <si>
    <t xml:space="preserve">전원 안들어옴:전원 안들어와 분해 해보니 전원 트랜스퍼머가 OUT됨
같은 트랜스 없어서 12V 1A SMPS 분해하여 내장시킴
 </t>
  </si>
  <si>
    <t>이백범</t>
  </si>
  <si>
    <t>bump</t>
  </si>
  <si>
    <t>CDM</t>
  </si>
  <si>
    <t>판넬PC</t>
  </si>
  <si>
    <t>XTOP12TS-SD</t>
  </si>
  <si>
    <t>전원불량:패널 불량으로 구매중</t>
  </si>
  <si>
    <t>2021-02-15</t>
  </si>
  <si>
    <t>STEPPING MOTOR DRIVER</t>
  </si>
  <si>
    <t>TD-2M33</t>
  </si>
  <si>
    <t>SIGNAL 불안정:커플러 교체</t>
  </si>
  <si>
    <t>P/Saw</t>
  </si>
  <si>
    <t>INTERFACE  B/D</t>
  </si>
  <si>
    <t xml:space="preserve"> 
:fuse 교체</t>
  </si>
  <si>
    <t xml:space="preserve">POSITION 변함 :PARAMETER COPY SERVO REPAIR </t>
  </si>
  <si>
    <t>1913RF</t>
  </si>
  <si>
    <t>알람 울리지 않음.:BOARD 전체 소자 체크 완료 /  BOARD 퓨즈 OUT으로 교체 완료.</t>
  </si>
  <si>
    <t>BACK LIGHT OUT:BACK LIGHT 교체 , 인버터 BOARD 퓨즈 OUT으로 교체.</t>
  </si>
  <si>
    <t>PMO</t>
  </si>
  <si>
    <t>Timer</t>
  </si>
  <si>
    <t>Timer controller</t>
  </si>
  <si>
    <t xml:space="preserve">미니타이머 (일제) 화면 안나옴:분해 해 보니 LCD창과 보드을 연결해 주는 소프트케이불이 없는상태.
 LCD와 보드 접촉을 해주고 스위치 작동을 돕는 보드 고정 스크류 1개
 배터리를 고정시키고 케이스 고정용 외부 고정 스크류 4개 없는 상태로 입고,
적출해 보관 하고 있던 소프트케이블을 맞게 잘라 끼우고 작동 스위치 3개는 양면 테이프에 연필 흑연을 묻혀서 고정시킨후 조립! 정상 작동 
 </t>
  </si>
  <si>
    <t>LX-2001</t>
  </si>
  <si>
    <t>레이저 데이터 피드백 안됨:</t>
  </si>
  <si>
    <t>2000A</t>
  </si>
  <si>
    <t>Booting Fail
:</t>
  </si>
  <si>
    <t>OS Tester</t>
  </si>
  <si>
    <t xml:space="preserve">error 8:MCU out 으로 수리 불가 </t>
  </si>
  <si>
    <t>POINT PIN 부식 심함.:부속품 단종으로 폐기 진행.</t>
  </si>
  <si>
    <t>화면 붉게 나오다가 꺼짐:화면 붉게 나오다가 꺼짐
모든 콘덴서 교체</t>
  </si>
  <si>
    <t>2021-02-10</t>
  </si>
  <si>
    <t>EAD6340K/3500D</t>
  </si>
  <si>
    <t>AXIOMTEK</t>
  </si>
  <si>
    <t xml:space="preserve"> Used Vision Hanmi CPU</t>
  </si>
  <si>
    <t>No system power, Detect low resistance on Mother board capacitors  near RAM memory and Processor slot location.:CPU B/D 교체</t>
  </si>
  <si>
    <t>Fico Auto Mold Press</t>
  </si>
  <si>
    <t>NOVA-8522G2-800Z-R10</t>
  </si>
  <si>
    <t xml:space="preserve"> Used Automold System CPU</t>
  </si>
  <si>
    <t>Encounter PC shutdown/ No power/Boot up problem:south bridge불량으로 교체요청 (7일 소요예정)</t>
  </si>
  <si>
    <t xml:space="preserve">매칭 에러 발생:점검 하여 보니
제어부에 반도체 부품은 이상 없어 콘덴서만 모두 교체
 </t>
  </si>
  <si>
    <t>EPSON HANDLER</t>
  </si>
  <si>
    <t>A21PB-08UY04</t>
  </si>
  <si>
    <t>센서 out:커플러 교체</t>
  </si>
  <si>
    <t>정덕우</t>
  </si>
  <si>
    <t>vt-588et</t>
  </si>
  <si>
    <t>power 인가 안됨. :콘덴서 ALL 교체 완료 후 전원 인가 확인.</t>
  </si>
  <si>
    <t>p-saw</t>
  </si>
  <si>
    <t>YASAKAWA</t>
  </si>
  <si>
    <t>ac  servo driver</t>
  </si>
  <si>
    <t>fan error:fan 교체</t>
  </si>
  <si>
    <t>Bits AGC, NSOL Error:Board 점검 불량 소자 교체</t>
  </si>
  <si>
    <t xml:space="preserve">PROTEC </t>
  </si>
  <si>
    <t xml:space="preserve">CPU Board </t>
  </si>
  <si>
    <t>Fan 불량:</t>
  </si>
  <si>
    <t>알람 발생:이물질로 인한 접불. 장비 all cleaning</t>
  </si>
  <si>
    <t>2021-02-09</t>
  </si>
  <si>
    <t>PALSMA</t>
  </si>
  <si>
    <t>PLC XGP-ACF1</t>
  </si>
  <si>
    <t>XGP-ACF1</t>
  </si>
  <si>
    <t>전원 출력 안됨:내부 모든 콘덴서 교체 및 저항 2Kohm 교체</t>
  </si>
  <si>
    <t>1022003676</t>
  </si>
  <si>
    <t>IONZER</t>
  </si>
  <si>
    <t>알람 발생:부속품 부족으로 폐기 진행</t>
  </si>
  <si>
    <t>Z NODE ASSEMBLY</t>
  </si>
  <si>
    <t>08888-1230</t>
  </si>
  <si>
    <t>Z 축 Down:</t>
  </si>
  <si>
    <t>STA</t>
  </si>
  <si>
    <t>DIGITAL B/D</t>
  </si>
  <si>
    <t>DIGITAL BOARD-A03</t>
  </si>
  <si>
    <t>24V 전원 퓨즈 나감:부품 구매하여 금일 입고
교체후 정상 동작</t>
  </si>
  <si>
    <t>103073802185</t>
  </si>
  <si>
    <t>2021-02-08</t>
  </si>
  <si>
    <t>TORAY UI PC</t>
  </si>
  <si>
    <t>950</t>
  </si>
  <si>
    <t>TCNCP TCFC TORAY 장비 UI PC로 부팅시 비프음 10회 울린 후 부팅 되지 않는 증상. (자체 점검 사항: CPU, Ram, Power Check 완료):</t>
  </si>
  <si>
    <t>1010106877 / 1101107249</t>
  </si>
  <si>
    <t>한기호</t>
  </si>
  <si>
    <t>300TX</t>
  </si>
  <si>
    <t>Ring Light</t>
  </si>
  <si>
    <t>LED 불량:LED 교체</t>
  </si>
  <si>
    <t>정영춘</t>
  </si>
  <si>
    <t>무선 호출기</t>
  </si>
  <si>
    <t>전원 불량 스위치 불량 :스위치 불량  modify 2개</t>
  </si>
  <si>
    <t>19MB35P</t>
  </si>
  <si>
    <t>touch 불량:touch 교체</t>
  </si>
  <si>
    <t xml:space="preserve">전원 불량 스위치 불량 :battery 구매 5개 교환
          송수신 test 완료 </t>
  </si>
  <si>
    <t>ION값 불량.:POINT PIN 부식으로 인하여 폐기 진행.</t>
  </si>
  <si>
    <t>pkg</t>
  </si>
  <si>
    <t>LCD MONITOR</t>
  </si>
  <si>
    <t>오랜사용으로 백라이트가 타서 아웃됨:조금 작은 램프로 교체</t>
  </si>
  <si>
    <t>080905-BB</t>
  </si>
  <si>
    <t>2021-02-05</t>
  </si>
  <si>
    <t>ESEc 2100</t>
  </si>
  <si>
    <t>Lid ATTACH</t>
  </si>
  <si>
    <t>AC SERVO</t>
  </si>
  <si>
    <t>과부하. 팬 알람:fan,콘덴서 교체 후 test 완료</t>
  </si>
  <si>
    <t>허성식</t>
  </si>
  <si>
    <t>SIMCO(5802i)</t>
  </si>
  <si>
    <t>SMPS 24V 1A</t>
  </si>
  <si>
    <t>SA124C-24V</t>
  </si>
  <si>
    <t>Ionizer 전원 매우 불 안정하며 꺼짐 :SMPS 불량으로 분해하여 내부 모든 콘덴서 교체 하였슴.
제 조립하여 작동 시킴. 정상 작동
CHINA Sino-American 제품으로 24V 1A 출력.</t>
  </si>
  <si>
    <t xml:space="preserve">MOTOR 떨림 :c 교환  jeck repair </t>
  </si>
  <si>
    <t>최병운</t>
  </si>
  <si>
    <t>omron</t>
  </si>
  <si>
    <t>controller</t>
  </si>
  <si>
    <t>CONTORLLER 케이블이 길어 위험방지예방으로 기존 사이즈보다 절반으로 축소 의뢰.:CONTORLLER 케이블 축소</t>
  </si>
  <si>
    <t>이규동</t>
  </si>
  <si>
    <t>Sputter Oerlikon</t>
  </si>
  <si>
    <t>Anal &amp; Dig B/D</t>
  </si>
  <si>
    <t xml:space="preserve">Ar Gas Controller 부분 Alarm 발생 
:232 통신 또는 485 통신 쪽으로 의심되어 관련 칩 5ea 교체
기본적으로 내부 콘덴서 모두 교체 하였씀.
제조 test 의뢰
 </t>
  </si>
  <si>
    <t>?	103070214046</t>
  </si>
  <si>
    <t>2021-02-04</t>
  </si>
  <si>
    <t>SGD7S-1R6A00A002</t>
  </si>
  <si>
    <t xml:space="preserve">과부하. 팬 알람:내부 콘덴서 교체 후 test </t>
  </si>
  <si>
    <t>온도 컨트롤 X:</t>
  </si>
  <si>
    <t>Touch MONITOR</t>
  </si>
  <si>
    <t>화면 안나옴:inverter board  IC 교체</t>
  </si>
  <si>
    <t>장재혁</t>
  </si>
  <si>
    <t>ion값 불량:point pin 교체 및 장비 all cleaning</t>
  </si>
  <si>
    <t>ION값 불량:point pin 교체 및 장비 all cleaning</t>
  </si>
  <si>
    <t>ION값 불량:부속품 단종으로 폐기 진행</t>
  </si>
  <si>
    <t>KW430F</t>
  </si>
  <si>
    <t>solder</t>
  </si>
  <si>
    <t>Stepper</t>
  </si>
  <si>
    <t>step motor controller</t>
  </si>
  <si>
    <t xml:space="preserve">position 변함 누적됨 :step motor controller asd-12c-c all c </t>
  </si>
  <si>
    <t>K&amp;S Iconn PLUS</t>
  </si>
  <si>
    <t xml:space="preserve">POWER SUPPLY </t>
  </si>
  <si>
    <t>08888-1131-200</t>
  </si>
  <si>
    <t>가동 중 Power Off
/ TEST 대기:</t>
  </si>
  <si>
    <t>KA19384</t>
  </si>
  <si>
    <t>유창완</t>
  </si>
  <si>
    <t>2021-02-03</t>
  </si>
  <si>
    <t>Semisys</t>
  </si>
  <si>
    <t>6K4 Controller</t>
  </si>
  <si>
    <t>FAN</t>
  </si>
  <si>
    <t>VVYA2V9C25T</t>
  </si>
  <si>
    <t>FAN 안돌아감.:FAN 교체 후 WIRE 작업.</t>
  </si>
  <si>
    <t>남병용</t>
  </si>
  <si>
    <t xml:space="preserve">Z-SERVO DOWN:Z-SERVO 관련 소자 체크 후 OUT 된 소자 교체 </t>
  </si>
  <si>
    <t>SMPS 24V 9.5A</t>
  </si>
  <si>
    <t>VSF220-24</t>
  </si>
  <si>
    <t>전원 출력 안됨:PWM chip M51995AP out change</t>
  </si>
  <si>
    <t>F060607437</t>
  </si>
  <si>
    <t>FBGGL16755</t>
  </si>
  <si>
    <t>F110818841</t>
  </si>
  <si>
    <t>김전욱</t>
  </si>
  <si>
    <t>Ball shear</t>
  </si>
  <si>
    <t>control board</t>
  </si>
  <si>
    <t>Burn out :해당 ic,주변 out 된 소자 교체</t>
  </si>
  <si>
    <t>ON LOADER</t>
  </si>
  <si>
    <t>COMIZOA IO</t>
  </si>
  <si>
    <t>comisd414</t>
  </si>
  <si>
    <t>burn out:td62083 out</t>
  </si>
  <si>
    <t>QT200</t>
  </si>
  <si>
    <t xml:space="preserve">usb i/f board </t>
  </si>
  <si>
    <t xml:space="preserve">usb 인식 안됨:usb cable repair 
qt-200 workstation setup </t>
  </si>
  <si>
    <t>알람:부속품 단종으로 폐기</t>
  </si>
  <si>
    <t>이진곤</t>
  </si>
  <si>
    <t>ion값 불량:point pin 교체 , 장비  all cleaning</t>
  </si>
  <si>
    <t>김진환</t>
  </si>
  <si>
    <t>FB2100</t>
  </si>
  <si>
    <t>Booting 느림:</t>
  </si>
  <si>
    <t xml:space="preserve">외부 이물질로 인하여 전원 안나옴.:대체품 일체형 PC 구매완료  , 수요일 업체 TEST 진행 예정. </t>
  </si>
  <si>
    <t>2021-02-02</t>
  </si>
  <si>
    <t>MAX4638 // MAX4639 BURN:</t>
  </si>
  <si>
    <t>"075040094312786"</t>
  </si>
  <si>
    <t>PIOC Process B/D</t>
  </si>
  <si>
    <t>:35v10uf 콘덴서 교체</t>
  </si>
  <si>
    <t>P25705_01R01</t>
  </si>
  <si>
    <t>screen prenter</t>
  </si>
  <si>
    <t>PNP장비</t>
  </si>
  <si>
    <t>AC SERVR DRIVER</t>
  </si>
  <si>
    <t>ada2-02sl</t>
  </si>
  <si>
    <t xml:space="preserve">ada2-02sl PARAMER R/W :통신 CABLE 제작  AHF PARAMETER R/W  PROGRAM TEST GOOD  </t>
  </si>
  <si>
    <t>PLASMA</t>
  </si>
  <si>
    <t>VSP-88D</t>
  </si>
  <si>
    <t>E9 Error:</t>
  </si>
  <si>
    <t>김영식</t>
  </si>
  <si>
    <t>장비  pc</t>
  </si>
  <si>
    <t>산업용 PC</t>
  </si>
  <si>
    <t xml:space="preserve">PC가 부팅이 안되고 삐~ 삐~ 소리만 나고 반응 없음:케이스 열고 럠모듈 꺼내어 지우개로 접속되는 부분 양쪽을 닦고 제 장착 후
전원 인가 하니 정상 부팅 되었씀
파워 교환 하고 BIOS 배터리 out 되어 교체 하려 했으나 스폿 용점 된것이여서
배터리 빼고 스탠드형 케이스을 삽입하여 교체 </t>
  </si>
  <si>
    <t>WMC603B0604P300W6902</t>
  </si>
  <si>
    <t>K&amp;S IConn</t>
  </si>
  <si>
    <t>DHMS HEX HALF STEPPER DR BD</t>
  </si>
  <si>
    <t>08888-4166</t>
  </si>
  <si>
    <t>H/B HOME NOT:BOARD 점검 후 Burn 소자,퓨즈 교체</t>
  </si>
  <si>
    <t>ASSY ICONN STEPPER CONTROLLER BOARD</t>
  </si>
  <si>
    <t>08888-4304</t>
  </si>
  <si>
    <t>BOOTNG FAIL, CPU BOARD와 통신 X:Board 점검 후 통신 driver ic 교체</t>
  </si>
  <si>
    <t>Bits AGC:Board 점검 불량 소자 교체</t>
  </si>
  <si>
    <t>2021-02-01</t>
  </si>
  <si>
    <t>12V 아답터</t>
  </si>
  <si>
    <t>전원 12V 아나옴
분해 점검 해 보니 전원선 단선:납땜후 제 조립 완료</t>
  </si>
  <si>
    <t xml:space="preserve">전원 out:전원 board 점검 </t>
  </si>
  <si>
    <t>mr-j3-10b-s133</t>
  </si>
  <si>
    <t>display 안됨 68 400v:1 display 888 error 
   power controller b/d repair c all
   cpu out 으로 reject board에서 추출 
2 spair board parameter copy</t>
  </si>
  <si>
    <t>QUINT-UPS 10A</t>
  </si>
  <si>
    <t>2866226</t>
  </si>
  <si>
    <t>배터리 교체:배터리 교체</t>
  </si>
  <si>
    <t>자동화기술</t>
  </si>
  <si>
    <t>led light</t>
  </si>
  <si>
    <t>전원 인가 안되어 LED ON 안됨:2pins 콘넥터 선이 내부에ㅔ서 끈어져 핀을 빼서 잘라내고 핀 납땜하여 다시 핀 케이스에 삽입 완료함</t>
  </si>
  <si>
    <t>REFLOW</t>
  </si>
  <si>
    <t>SM100</t>
  </si>
  <si>
    <t>TEMPERATURE
CONTROLLER</t>
  </si>
  <si>
    <t>temperature control x:온도 제어 IC 교체</t>
  </si>
  <si>
    <t>Vision Plasma</t>
  </si>
  <si>
    <t>17인치 touch monitor</t>
  </si>
  <si>
    <t>전원 안들어오는 현상:내부 SMPS 12V 1.5A out
콘덴서 모두 교체후 조립
정상 작동</t>
  </si>
  <si>
    <t>EMEM170STIR5S-403</t>
  </si>
  <si>
    <t>Conector Modify:Conector Modify</t>
  </si>
  <si>
    <t>이정렬</t>
  </si>
  <si>
    <t>UPS 교체:이상작동 / fan out로 교체</t>
  </si>
  <si>
    <t>display</t>
  </si>
  <si>
    <t>digtal indicator</t>
  </si>
  <si>
    <t>전원부 out:전원부 제작 하기위한 설계 탬 서치</t>
  </si>
  <si>
    <t>전원부 out:전원부 제작 하기위한 설계 탬 서치
모듈 전원 구매 요청
TMT10105  1EA
TMT15115  1EA</t>
  </si>
  <si>
    <t>2021-01-29</t>
  </si>
  <si>
    <t>ION값 불량:부속품 부족으로 폐기 진행</t>
  </si>
  <si>
    <t>smps</t>
  </si>
  <si>
    <t>NMB-MAT 2410RL</t>
  </si>
  <si>
    <t>회전 안함:분해 하여 베아링 2개 및 내부 크리닝 후 오일 주입!
제 조립 완료</t>
  </si>
  <si>
    <t>2410RL-04W-B50</t>
  </si>
  <si>
    <t>온도가 비정상으로 표시:내부 SMPS부 모든 콘덴서 교체</t>
  </si>
  <si>
    <t>IEC667</t>
  </si>
  <si>
    <t>TOUCH 불량
:touch 교체</t>
  </si>
  <si>
    <t>127522, 107008</t>
  </si>
  <si>
    <t>Monitor PC</t>
  </si>
  <si>
    <t>HP Probook 6550b</t>
  </si>
  <si>
    <t>PC 느려지고 해당 장비와 통신못함:1. IP 주소 잡아야함 192.168.0.40 or 41
2. 프로그램에서 장비 번호 맞춰야함</t>
  </si>
  <si>
    <t>센서 out:</t>
  </si>
  <si>
    <t xml:space="preserve">ada2-02sl  hitachi driver 전원 out 
:AHF SETUP PROGRAM INSTALL  DRIVER ALL C REPAIR  </t>
  </si>
  <si>
    <t>#6</t>
  </si>
  <si>
    <t>TEMP OUT:노이즈필터 교체</t>
  </si>
  <si>
    <t>FAN 작동이 일정하지 않음.:전원 Board 점검, FAN 교체</t>
  </si>
  <si>
    <t>08888-1002</t>
  </si>
  <si>
    <t>장비 동작시 Z 축 다운 현상	:ALL Condenser
DAC7731E
OPA549</t>
  </si>
  <si>
    <t>2021-01-28</t>
  </si>
  <si>
    <t>system  pc</t>
  </si>
  <si>
    <t>APC-C4001-S1A</t>
  </si>
  <si>
    <t>Booting Fail:드라이버 재설치</t>
  </si>
  <si>
    <t>인식 불가:</t>
  </si>
  <si>
    <t>CL17732</t>
  </si>
  <si>
    <t>김성환</t>
  </si>
  <si>
    <t>가압오분</t>
  </si>
  <si>
    <t>XP30-TTA/DC</t>
  </si>
  <si>
    <t>power supply</t>
  </si>
  <si>
    <t>전원 인가하면 부팅은 정상이나 화면이 매우 불 안정함 :DC-DC convertor 부분(Power supply)에 모든 콘덴서 교체</t>
  </si>
  <si>
    <t>fan out:전원 Board 점검, fan 교체</t>
  </si>
  <si>
    <t>2021-01-27</t>
  </si>
  <si>
    <t>buming</t>
  </si>
  <si>
    <t>MOTOR DRIVER</t>
  </si>
  <si>
    <t>손세용</t>
  </si>
  <si>
    <t>dicso</t>
  </si>
  <si>
    <t xml:space="preserve">Robot Controller board </t>
  </si>
  <si>
    <t>HNC-555-5-BB</t>
  </si>
  <si>
    <t>로봇 움직일때 간혈적 튐 현상:포토커플러 tlp181
콘덴서 교체</t>
  </si>
  <si>
    <t>35726</t>
  </si>
  <si>
    <t>PW5115</t>
  </si>
  <si>
    <t>Moniter</t>
  </si>
  <si>
    <t>Touch moniter</t>
  </si>
  <si>
    <t xml:space="preserve">화면 안보임.:Inverter Board 점검 </t>
  </si>
  <si>
    <t>Off-Loader</t>
  </si>
  <si>
    <t>:2803교체</t>
  </si>
  <si>
    <t>1T5P</t>
  </si>
  <si>
    <t>tpr-2me25l</t>
  </si>
  <si>
    <t>출력 불량:bta26600b out</t>
  </si>
  <si>
    <t>2021-01-26</t>
  </si>
  <si>
    <t>mr-j2s-20a</t>
  </si>
  <si>
    <t>mr-j2s-10a e9
mr-j2s-20a  al24:7800 / c all 교환</t>
  </si>
  <si>
    <t>MARKIMG</t>
  </si>
  <si>
    <t>parameter  copy:spair board parameter  copy</t>
  </si>
  <si>
    <t>Door lock</t>
  </si>
  <si>
    <t>Offic</t>
  </si>
  <si>
    <t>삼성 도어락</t>
  </si>
  <si>
    <t>M-2920</t>
  </si>
  <si>
    <t>비 정상 작동:내부 micro switch 교체</t>
  </si>
  <si>
    <t xml:space="preserve">c burning :c 470u 200v 2개 out </t>
  </si>
  <si>
    <t>08001-4327</t>
  </si>
  <si>
    <t>IMAGE PROCESSING VISION ASSEMBLY</t>
  </si>
  <si>
    <t>08890-1005</t>
  </si>
  <si>
    <t>08888-1005</t>
  </si>
  <si>
    <t>08001-0520</t>
  </si>
  <si>
    <t>2021-01-25</t>
  </si>
  <si>
    <t>Switch 교체:Switch 교체</t>
  </si>
  <si>
    <t>Cable 단선:Cable 단선</t>
  </si>
  <si>
    <t>error 90:c all 교환</t>
  </si>
  <si>
    <t>패널교체:패널교체</t>
  </si>
  <si>
    <t>22V2A</t>
  </si>
  <si>
    <t>20141205</t>
  </si>
  <si>
    <t>출력 고속 스위칭 다이오드 쇼트로 교체:출력 고속 스위칭 다이오드 쇼트로 교체</t>
  </si>
  <si>
    <t>Battery Out:Bateery Change</t>
  </si>
  <si>
    <t>2021-01-22</t>
  </si>
  <si>
    <t>Indexer Board 인식 불가:Indexer Board 인식 불가</t>
  </si>
  <si>
    <t>이물질로 인한 센서 오동작:이물질로 인한 센서 오동작</t>
  </si>
  <si>
    <t>esec</t>
  </si>
  <si>
    <t>out put 불량:out put 불량ㄹ</t>
  </si>
  <si>
    <t>연구기술직 필수교육-전기전자기초:연구기술직 필수교육-전기전자기초</t>
  </si>
  <si>
    <t>2021-01-21</t>
  </si>
  <si>
    <t>터치안됨:터치안됨</t>
  </si>
  <si>
    <t>7AB Error:7AB Error</t>
  </si>
  <si>
    <t>:bios reset
chipset 설치
hdd copy
수리불가</t>
  </si>
  <si>
    <t>LAMP,FAN  OUT:전원 Board 점검 콘덴서,lamp fan 교체</t>
  </si>
  <si>
    <t>LAMP OUT:전원 Board 점검, lamp 교체</t>
  </si>
  <si>
    <t>iConn</t>
  </si>
  <si>
    <t>Battery</t>
  </si>
  <si>
    <t>전원 OUT:BOARD 코일 교체</t>
  </si>
  <si>
    <t>2021-01-20</t>
  </si>
  <si>
    <t>패널 구매중:z-diode 교체 (68M)</t>
  </si>
  <si>
    <t>HP Probook 6515S</t>
  </si>
  <si>
    <t>Booting Fail:1. IP 주소 잡아야함 192.168.0.41
2. 프로그램에서 장비 번호 맞춰야함</t>
  </si>
  <si>
    <t>TEMP B/D 인식못함:TEMP B/D 인식못함</t>
  </si>
  <si>
    <t>핀 파손 된것 수리:핀 파손 된것 수리</t>
  </si>
  <si>
    <t>High Mac X:High Mac X</t>
  </si>
  <si>
    <t>오랜사용으로 백라이트가 타서 아웃됨:비슷한 램프로 교체</t>
  </si>
  <si>
    <t>ION값 불량:point pin 교체 ionizer all cleaning</t>
  </si>
  <si>
    <t>FAN 안돌아감:부속품 부족으로 폐기</t>
  </si>
  <si>
    <t>최기영</t>
  </si>
  <si>
    <t>시설</t>
  </si>
  <si>
    <t>화학실</t>
  </si>
  <si>
    <t>전광판 및 음성안내방송장치</t>
  </si>
  <si>
    <t>K4 화학실 2 SET
K5 화학실 1 SET
총 3 SET 제작 완료:</t>
  </si>
  <si>
    <t>교육과</t>
  </si>
  <si>
    <t>전자전기 기초과정</t>
  </si>
  <si>
    <t>전기전자기초 강의:전기전자강의</t>
  </si>
  <si>
    <t>2021-01-19</t>
  </si>
  <si>
    <t>전원 OUT:전원 OUT</t>
  </si>
  <si>
    <t>Booting Fail:Booting Fail</t>
  </si>
  <si>
    <t>Bits AGC:Bits AGC</t>
  </si>
  <si>
    <t>LED all Change:LED all Change</t>
  </si>
  <si>
    <t>알람 발생:장비 all cleaning</t>
  </si>
  <si>
    <t>2021-01-18</t>
  </si>
  <si>
    <t>내부 팬 아웃으로 일부 보드 콘덴서 out / vos alc 콘덴서 교체:내부 팬 아웃으로 일부 보드 콘덴서 out / vos alc 콘덴서 교체</t>
  </si>
  <si>
    <t>센서 선 끈어짐 / 선 연결 함:센서 선 끈어짐 / 선 연결 함</t>
  </si>
  <si>
    <t>INITIAL 안됨:INITIAL 안됨</t>
  </si>
  <si>
    <t>Laser 출력 안나옴:Laser 출력 안나옴</t>
  </si>
  <si>
    <t>노동록</t>
  </si>
  <si>
    <t>cleaning 후 전원 out :Board out으로 인한 폐기</t>
  </si>
  <si>
    <t>2021-01-15</t>
  </si>
  <si>
    <t>알람 발생:알람 발생</t>
  </si>
  <si>
    <t>출력 Power Zero:출력 Power Zero</t>
  </si>
  <si>
    <t>EFO OPEN:EFO OPEN</t>
  </si>
  <si>
    <t>강성인</t>
  </si>
  <si>
    <t>Digital Board-A03</t>
  </si>
  <si>
    <t xml:space="preserve">통신 불량:board 통신 test 완료. </t>
  </si>
  <si>
    <t>Analog Board</t>
  </si>
  <si>
    <t>통신 불량:통신 test 완료 out 소자 교체</t>
  </si>
  <si>
    <t>2021-01-14</t>
  </si>
  <si>
    <t>TOUCH 불량:TOUCH 불량</t>
  </si>
  <si>
    <t>이상음 / 팬 크리닝 하여 조립:이상음 / 팬 크리닝 하여 조립</t>
  </si>
  <si>
    <t>wire 단선으로 연결해줌:wire 단선으로 연결해줌</t>
  </si>
  <si>
    <t>ac servo driver</t>
  </si>
  <si>
    <t>역회전 motor 떨림:역회전 motor 떨림</t>
  </si>
  <si>
    <t>출력 안나옴:출력 안나옴</t>
  </si>
  <si>
    <t>Tape Attach</t>
  </si>
  <si>
    <t>HAESUNG</t>
  </si>
  <si>
    <t>CSD5-01BX1</t>
  </si>
  <si>
    <t>전원 불량:콘덴서 All Change</t>
  </si>
  <si>
    <t>ION값 불량:point pin 교체 all cleaning</t>
  </si>
  <si>
    <t>2021-01-13</t>
  </si>
  <si>
    <t>error encode /p1 error:error encode /p1 error</t>
  </si>
  <si>
    <t>인식 불량 문제 점검:인식 불량 문제 점검</t>
  </si>
  <si>
    <t>전원 안들어옴 c all  33uF 25V 알루미늄 out 원인:전원 안들어옴 c all  33uF 25V 알루미늄 out 원인</t>
  </si>
  <si>
    <t>출력 out:all c 교환</t>
  </si>
  <si>
    <t>전원 안들어옴. / AC DC 컨버터 구매중:전원 안들어옴. / AC DC 컨버터 구매중</t>
  </si>
  <si>
    <t>점검 이상무:점검 이상무</t>
  </si>
  <si>
    <t>전원 안들어옴 / 내부 모든 콘덴서 교체:전원 안들어옴 / 내부 모든 콘덴서 교체</t>
  </si>
  <si>
    <t>파워 수리중:파워 수리중</t>
  </si>
  <si>
    <t>2021-01-12</t>
  </si>
  <si>
    <t>FAN교체:FAN교체</t>
  </si>
  <si>
    <t>화면 안나옴 전원 무 반응 / 파워보드 모든 콘덴서 교체:화면 안나옴 전원 무 반응 / 파워보드 모든 콘덴서 교체</t>
  </si>
  <si>
    <t>침수로 인한 동작 정지 / 보드 습기 제거후 제 조립:침수로 인한 동작 정지 / 보드 습기 제거후 제 조립</t>
  </si>
  <si>
    <t>DVR #3 수리 및 탈착:DVR #3 수리 및 탈착</t>
  </si>
  <si>
    <t>2021-01-11</t>
  </si>
  <si>
    <t>Chip Condenser Out:Chip Condenser Out</t>
  </si>
  <si>
    <t>전원무:전원무</t>
  </si>
  <si>
    <t>전원 아나옴 / 모든 콘덴서 TNY278 저항 2개:전원 아나옴 / 모든 콘덴서 TNY278 저항 2개</t>
  </si>
  <si>
    <t>2021-01-08</t>
  </si>
  <si>
    <t>작동 불안정 / 내부 콘덴서 모두 교체:작동 불안정 / 내부 콘덴서 모두 교체</t>
  </si>
  <si>
    <t>전자저울컨트롤러</t>
  </si>
  <si>
    <t>WZA224-N</t>
  </si>
  <si>
    <t>통신불량:</t>
  </si>
  <si>
    <t>2021-01-07</t>
  </si>
  <si>
    <t>display 안됨 68 400v:display 안됨 68 400v</t>
  </si>
  <si>
    <t>왼쪽 스위치 안됨 / 좌 우 스위치 서로 바꿈:왼쪽 스위치 안됨 / 좌 우 스위치 서로 바꿈</t>
  </si>
  <si>
    <t>step motor driver</t>
  </si>
  <si>
    <t>error led on /all c:error led on /all c</t>
  </si>
  <si>
    <t>Battery Change:Battery Change</t>
  </si>
  <si>
    <t>Power Supply Out:Power Supply Out</t>
  </si>
  <si>
    <t>2021-01-06</t>
  </si>
  <si>
    <t>apm mold</t>
  </si>
  <si>
    <t>over load  para 변경후 정상:over load  para 변경후 정상</t>
  </si>
  <si>
    <t>display 안됨 100 = 10옴 임  시멤트 저항으로 대체하니 정상임 2w 저항으로는 motor 작동시 out 됨:display 안됨 100 = 10옴 임  시멤트 저항으로 대체하니 정상임 2w 저항으로는 motor 작동시 out 됨</t>
  </si>
  <si>
    <t>LS</t>
  </si>
  <si>
    <t>K3P-07AS</t>
  </si>
  <si>
    <t>동작 불량:Battery , Condenser Change</t>
  </si>
  <si>
    <t>2021-01-05</t>
  </si>
  <si>
    <t>단선:단선</t>
  </si>
  <si>
    <t>BETTERY OUT:BETTERY OUT</t>
  </si>
  <si>
    <t>속도느림:속도느림</t>
  </si>
  <si>
    <t>알람 발생:POINT PIN 교체 및 ALL cleaning</t>
  </si>
  <si>
    <t>2021-01-04</t>
  </si>
  <si>
    <t>PM Driver Type S</t>
  </si>
  <si>
    <t>PMAPA1S6B01</t>
  </si>
  <si>
    <t>When install this driver machine origin error.:When install this driver machine origin error.</t>
  </si>
  <si>
    <t>304250546</t>
  </si>
  <si>
    <t>PowerTECH LVGEN 2G, QT-C4029-402</t>
  </si>
  <si>
    <t>During test failure occur - IGSS fail:During test failure occur - IGSS fail</t>
  </si>
  <si>
    <t>1507011</t>
  </si>
  <si>
    <t>회로 응용 회로 판독법 및 이론지식 교육:회로 응용 회로 판독법 및 이론지식 교육</t>
  </si>
  <si>
    <t>알람 발생:point pin ALL cleaning</t>
  </si>
  <si>
    <t>BATTERY OUT:BATTERY 교체</t>
  </si>
  <si>
    <t>Measurement 안됨:Measurement 안됨</t>
  </si>
  <si>
    <t>rys201s3-vvv-za2 power board 교환 불출 test 중:rys201s3-vvv-za2 power board 교환 불출 test 중</t>
  </si>
  <si>
    <t>화면 붉게 나오다가 꺼짐 / 패널 백라이드 램프 교체:화면 붉게 나오다가 꺼짐 / 패널 백라이드 램프 교체</t>
  </si>
  <si>
    <t>패널 out /전원 안들어옴:패널 전원 board out으로 폐기</t>
  </si>
  <si>
    <t>ION값 불량:POINT PIN 교체 및 ALL cleaning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</si>
</sst>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0">
    <numFmt numFmtId="41" formatCode="_-* #,##0_-;\-* #,##0_-;_-* &quot;-&quot;_-;_-@_-"/>
    <numFmt numFmtId="44" formatCode="_-&quot;₩&quot;* #,##0.00_-;\-&quot;₩&quot;* #,##0.00_-;_-&quot;₩&quot;* &quot;-&quot;??_-;_-@_-"/>
    <numFmt numFmtId="43" formatCode="_-* #,##0.00_-;\-* #,##0.00_-;_-* &quot;-&quot;??_-;_-@_-"/>
    <numFmt numFmtId="176" formatCode="#,##0_);[Red]\(#,##0\)"/>
    <numFmt numFmtId="177" formatCode="0;[Red]0"/>
    <numFmt numFmtId="178" formatCode="#&quot;월&quot;"/>
    <numFmt numFmtId="179" formatCode="mm&quot;월&quot;\ dd&quot;일&quot;"/>
    <numFmt numFmtId="180" formatCode="0&quot;T&quot;0&quot;P&quot;"/>
    <numFmt numFmtId="181" formatCode="0_);[Red]\(0\)"/>
    <numFmt numFmtId="182" formatCode="#,##0_ "/>
    <numFmt numFmtId="183" formatCode="0.0%"/>
    <numFmt numFmtId="184" formatCode="#,##0.0_ "/>
    <numFmt numFmtId="185" formatCode="#&quot;년&quot;"/>
    <numFmt numFmtId="186" formatCode="0.0"/>
    <numFmt numFmtId="187" formatCode="_(&quot;$&quot;* #,##0.00_);_(&quot;$&quot;* \(#,##0.00\);_(&quot;$&quot;* &quot;-&quot;??_);_(@_)"/>
    <numFmt numFmtId="188" formatCode="_-* #,##0.0_-;\-* #,##0.0_-;_-* &quot;-&quot;_-;_-@_-"/>
    <numFmt numFmtId="189" formatCode="0.000_ "/>
    <numFmt numFmtId="190" formatCode="mmm"/>
    <numFmt numFmtId="191" formatCode="\w\w00"/>
    <numFmt numFmtId="192" formatCode="0.00_);[Red]\(0.00\)"/>
  </numFmts>
  <fonts count="39">
    <font>
      <sz val="11"/>
      <color theme="1"/>
      <name val="맑은 고딕"/>
      <family val="2"/>
      <charset val="129"/>
      <scheme val="minor"/>
    </font>
    <font>
      <sz val="11"/>
      <color theme="1"/>
      <name val="맑은 고딕"/>
      <family val="2"/>
      <charset val="129"/>
      <scheme val="minor"/>
    </font>
    <font>
      <sz val="9"/>
      <color theme="0"/>
      <name val="맑은 고딕"/>
      <family val="2"/>
      <charset val="129"/>
      <scheme val="minor"/>
    </font>
    <font>
      <sz val="8"/>
      <name val="맑은 고딕"/>
      <family val="2"/>
      <charset val="129"/>
      <scheme val="minor"/>
    </font>
    <font>
      <sz val="9"/>
      <color theme="0"/>
      <name val="맑은 고딕"/>
      <family val="3"/>
      <charset val="129"/>
      <scheme val="minor"/>
    </font>
    <font>
      <sz val="9"/>
      <color theme="1"/>
      <name val="맑은 고딕"/>
      <family val="2"/>
      <charset val="129"/>
      <scheme val="minor"/>
    </font>
    <font>
      <sz val="9"/>
      <color theme="1"/>
      <name val="맑은 고딕"/>
      <family val="3"/>
      <charset val="129"/>
      <scheme val="minor"/>
    </font>
    <font>
      <sz val="10"/>
      <color theme="1"/>
      <name val="맑은 고딕"/>
      <family val="2"/>
      <charset val="129"/>
      <scheme val="minor"/>
    </font>
    <font>
      <b/>
      <sz val="20"/>
      <color theme="1"/>
      <name val="맑은 고딕"/>
      <family val="3"/>
      <charset val="129"/>
      <scheme val="minor"/>
    </font>
    <font>
      <b/>
      <sz val="11"/>
      <color theme="1"/>
      <name val="맑은 고딕"/>
      <family val="3"/>
      <charset val="129"/>
      <scheme val="minor"/>
    </font>
    <font>
      <b/>
      <sz val="11"/>
      <color theme="5" tint="-0.49995422223578601"/>
      <name val="Arial"/>
      <family val="2"/>
    </font>
    <font>
      <sz val="8"/>
      <name val="돋움"/>
      <family val="3"/>
      <charset val="129"/>
    </font>
    <font>
      <b/>
      <sz val="11"/>
      <name val="Arial"/>
      <family val="2"/>
    </font>
    <font>
      <sz val="11"/>
      <name val="Arial"/>
      <family val="2"/>
    </font>
    <font>
      <b/>
      <sz val="11"/>
      <name val="돋움"/>
      <family val="3"/>
      <charset val="129"/>
    </font>
    <font>
      <sz val="10"/>
      <color theme="1"/>
      <name val="맑은 고딕"/>
      <family val="3"/>
      <charset val="129"/>
      <scheme val="minor"/>
    </font>
    <font>
      <sz val="11"/>
      <color theme="1"/>
      <name val="맑은 고딕"/>
      <family val="3"/>
      <charset val="129"/>
      <scheme val="minor"/>
    </font>
    <font>
      <b/>
      <sz val="12"/>
      <color theme="5" tint="-0.49995422223578601"/>
      <name val="Arial"/>
      <family val="2"/>
    </font>
    <font>
      <b/>
      <sz val="9"/>
      <color theme="5" tint="-0.49995422223578601"/>
      <name val="Arial"/>
      <family val="2"/>
    </font>
    <font>
      <b/>
      <sz val="10"/>
      <color theme="1"/>
      <name val="맑은 고딕"/>
      <family val="3"/>
      <charset val="129"/>
      <scheme val="minor"/>
    </font>
    <font>
      <b/>
      <sz val="10"/>
      <color rgb="FFFF0000"/>
      <name val="맑은 고딕"/>
      <family val="3"/>
      <charset val="129"/>
      <scheme val="minor"/>
    </font>
    <font>
      <b/>
      <sz val="12"/>
      <color theme="1"/>
      <name val="맑은 고딕"/>
      <family val="2"/>
      <charset val="129"/>
      <scheme val="minor"/>
    </font>
    <font>
      <b/>
      <sz val="10"/>
      <name val="맑은 고딕"/>
      <family val="3"/>
      <charset val="129"/>
      <scheme val="minor"/>
    </font>
    <font>
      <sz val="20"/>
      <color theme="1"/>
      <name val="맑은 고딕"/>
      <family val="3"/>
      <charset val="129"/>
      <scheme val="minor"/>
    </font>
    <font>
      <b/>
      <sz val="11"/>
      <name val="맑은 고딕"/>
      <family val="3"/>
      <charset val="129"/>
      <scheme val="minor"/>
    </font>
    <font>
      <b/>
      <sz val="16"/>
      <color theme="1"/>
      <name val="맑은 고딕"/>
      <family val="3"/>
      <charset val="129"/>
      <scheme val="minor"/>
    </font>
    <font>
      <b/>
      <sz val="10"/>
      <color theme="0"/>
      <name val="맑은 고딕"/>
      <family val="3"/>
      <charset val="129"/>
      <scheme val="minor"/>
    </font>
    <font>
      <b/>
      <sz val="13"/>
      <color theme="0"/>
      <name val="Calibri"/>
      <family val="2"/>
    </font>
    <font>
      <b/>
      <sz val="14"/>
      <color theme="1"/>
      <name val="Calibri"/>
      <family val="2"/>
    </font>
    <font>
      <sz val="14"/>
      <color theme="1"/>
      <name val="Calibri"/>
      <family val="2"/>
    </font>
    <font>
      <b/>
      <sz val="14"/>
      <color rgb="FF0000FF"/>
      <name val="Calibri"/>
      <family val="2"/>
    </font>
    <font>
      <b/>
      <sz val="14"/>
      <color rgb="FFFF3300"/>
      <name val="Calibri"/>
      <family val="2"/>
    </font>
    <font>
      <sz val="10"/>
      <name val="Arial"/>
      <family val="2"/>
    </font>
    <font>
      <sz val="9"/>
      <name val="맑은 고딕"/>
      <family val="3"/>
      <charset val="129"/>
      <scheme val="minor"/>
    </font>
    <font>
      <sz val="11"/>
      <name val="맑은 고딕"/>
      <family val="2"/>
      <charset val="129"/>
      <scheme val="minor"/>
    </font>
    <font>
      <sz val="11"/>
      <name val="맑은 고딕"/>
      <family val="3"/>
      <charset val="129"/>
      <scheme val="minor"/>
    </font>
    <font>
      <b/>
      <sz val="14"/>
      <color theme="1"/>
      <name val="맑은 고딕"/>
      <family val="3"/>
      <charset val="129"/>
      <scheme val="minor"/>
    </font>
    <font>
      <sz val="11"/>
      <color rgb="FFFF0000"/>
      <name val="맑은 고딕"/>
      <family val="2"/>
      <charset val="129"/>
      <scheme val="minor"/>
    </font>
    <font>
      <b/>
      <sz val="12"/>
      <color rgb="FFFF0000"/>
      <name val="Arial"/>
      <family val="2"/>
    </font>
  </fonts>
  <fills count="27">
    <fill>
      <patternFill patternType="none"/>
    </fill>
    <fill>
      <patternFill patternType="gray125"/>
    </fill>
    <fill>
      <patternFill patternType="solid">
        <fgColor theme="4" tint="0.39997558519241921"/>
        <bgColor indexed="64"/>
      </patternFill>
    </fill>
    <fill>
      <patternFill patternType="solid">
        <fgColor theme="4" tint="0.79995117038483843"/>
        <bgColor indexed="64"/>
      </patternFill>
    </fill>
    <fill>
      <patternFill patternType="solid">
        <fgColor theme="4" tint="0.79995117038483843"/>
        <bgColor theme="4" tint="0.59996337778862885"/>
      </patternFill>
    </fill>
    <fill>
      <patternFill patternType="solid">
        <fgColor rgb="FFFFFF00"/>
        <bgColor indexed="64"/>
      </patternFill>
    </fill>
    <fill>
      <patternFill patternType="solid">
        <fgColor theme="6" tint="0.39997558519241921"/>
        <bgColor indexed="64"/>
      </patternFill>
    </fill>
    <fill>
      <patternFill patternType="solid">
        <fgColor theme="5" tint="0.79995117038483843"/>
        <bgColor indexed="64"/>
      </patternFill>
    </fill>
    <fill>
      <patternFill patternType="solid">
        <fgColor theme="7" tint="0.79995117038483843"/>
        <bgColor indexed="64"/>
      </patternFill>
    </fill>
    <fill>
      <patternFill patternType="solid">
        <fgColor theme="4" tint="0.59996337778862885"/>
        <bgColor indexed="64"/>
      </patternFill>
    </fill>
    <fill>
      <patternFill patternType="solid">
        <fgColor theme="0"/>
        <bgColor indexed="64"/>
      </patternFill>
    </fill>
    <fill>
      <patternFill patternType="solid">
        <fgColor theme="7" tint="0.59996337778862885"/>
        <bgColor indexed="64"/>
      </patternFill>
    </fill>
    <fill>
      <patternFill patternType="solid">
        <fgColor rgb="FFFFFF99"/>
        <bgColor indexed="64"/>
      </patternFill>
    </fill>
    <fill>
      <patternFill patternType="solid">
        <fgColor theme="8" tint="0.79995117038483843"/>
        <bgColor indexed="64"/>
      </patternFill>
    </fill>
    <fill>
      <patternFill patternType="solid">
        <fgColor rgb="FF92D050"/>
        <bgColor indexed="64"/>
      </patternFill>
    </fill>
    <fill>
      <patternFill patternType="solid">
        <fgColor rgb="FFFFC000"/>
        <bgColor indexed="64"/>
      </patternFill>
    </fill>
    <fill>
      <patternFill patternType="solid">
        <fgColor theme="6" tint="0.79995117038483843"/>
        <bgColor indexed="64"/>
      </patternFill>
    </fill>
    <fill>
      <patternFill patternType="solid">
        <fgColor theme="9" tint="0.79995117038483843"/>
        <bgColor indexed="64"/>
      </patternFill>
    </fill>
    <fill>
      <patternFill patternType="solid">
        <fgColor theme="5" tint="0.39997558519241921"/>
        <bgColor indexed="64"/>
      </patternFill>
    </fill>
    <fill>
      <patternFill patternType="solid">
        <fgColor theme="0" tint="-0.14999847407452621"/>
        <bgColor indexed="64"/>
      </patternFill>
    </fill>
    <fill>
      <patternFill patternType="solid">
        <fgColor rgb="FF00B0F0"/>
        <bgColor indexed="64"/>
      </patternFill>
    </fill>
    <fill>
      <patternFill patternType="lightUp">
        <fgColor theme="4" tint="-0.24994659260841701"/>
        <bgColor theme="3" tint="-0.49995422223578601"/>
      </patternFill>
    </fill>
    <fill>
      <patternFill patternType="solid">
        <fgColor rgb="FFC0504D"/>
        <bgColor indexed="64"/>
      </patternFill>
    </fill>
    <fill>
      <patternFill patternType="solid">
        <fgColor rgb="FFFFFFCC"/>
        <bgColor indexed="64"/>
      </patternFill>
    </fill>
    <fill>
      <patternFill patternType="solid">
        <fgColor theme="7" tint="0.79995117038483843"/>
        <bgColor theme="4" tint="0.59996337778862885"/>
      </patternFill>
    </fill>
    <fill>
      <patternFill patternType="solid">
        <fgColor theme="3" tint="0.79995117038483843"/>
        <bgColor indexed="64"/>
      </patternFill>
    </fill>
    <fill>
      <patternFill patternType="solid">
        <fgColor theme="7" tint="0.39997558519241921"/>
        <bgColor indexed="64"/>
      </patternFill>
    </fill>
  </fills>
  <borders count="68">
    <border>
      <left/>
      <right/>
      <top/>
      <bottom/>
      <diagonal/>
    </border>
    <border>
      <left style="thin">
        <color auto="1"/>
      </left>
      <right style="thin">
        <color auto="1"/>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auto="1"/>
      </left>
      <right style="medium">
        <color auto="1"/>
      </right>
      <top style="medium">
        <color auto="1"/>
      </top>
      <bottom style="double">
        <color indexed="64"/>
      </bottom>
      <diagonal/>
    </border>
    <border>
      <left/>
      <right style="thin">
        <color auto="1"/>
      </right>
      <top style="medium">
        <color auto="1"/>
      </top>
      <bottom style="double">
        <color indexed="64"/>
      </bottom>
      <diagonal/>
    </border>
    <border>
      <left style="thin">
        <color auto="1"/>
      </left>
      <right style="thin">
        <color auto="1"/>
      </right>
      <top style="medium">
        <color auto="1"/>
      </top>
      <bottom style="double">
        <color indexed="64"/>
      </bottom>
      <diagonal/>
    </border>
    <border>
      <left style="thin">
        <color auto="1"/>
      </left>
      <right style="medium">
        <color auto="1"/>
      </right>
      <top style="medium">
        <color auto="1"/>
      </top>
      <bottom style="double">
        <color indexed="64"/>
      </bottom>
      <diagonal/>
    </border>
    <border>
      <left style="medium">
        <color auto="1"/>
      </left>
      <right style="medium">
        <color auto="1"/>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medium">
        <color auto="1"/>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auto="1"/>
      </left>
      <right style="medium">
        <color auto="1"/>
      </right>
      <top style="thin">
        <color indexed="64"/>
      </top>
      <bottom style="medium">
        <color indexed="64"/>
      </bottom>
      <diagonal/>
    </border>
    <border>
      <left style="medium">
        <color auto="1"/>
      </left>
      <right style="medium">
        <color auto="1"/>
      </right>
      <top/>
      <bottom style="medium">
        <color auto="1"/>
      </bottom>
      <diagonal/>
    </border>
    <border>
      <left/>
      <right style="thin">
        <color auto="1"/>
      </right>
      <top/>
      <bottom style="medium">
        <color auto="1"/>
      </bottom>
      <diagonal/>
    </border>
    <border>
      <left style="thin">
        <color auto="1"/>
      </left>
      <right style="thin">
        <color auto="1"/>
      </right>
      <top/>
      <bottom style="medium">
        <color auto="1"/>
      </bottom>
      <diagonal/>
    </border>
    <border>
      <left style="thin">
        <color auto="1"/>
      </left>
      <right style="medium">
        <color auto="1"/>
      </right>
      <top/>
      <bottom style="medium">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thin">
        <color auto="1"/>
      </left>
      <right style="thin">
        <color auto="1"/>
      </right>
      <top style="thin">
        <color auto="1"/>
      </top>
      <bottom style="double">
        <color indexed="64"/>
      </bottom>
      <diagonal/>
    </border>
    <border>
      <left style="medium">
        <color indexed="64"/>
      </left>
      <right/>
      <top/>
      <bottom style="medium">
        <color indexed="64"/>
      </bottom>
      <diagonal/>
    </border>
    <border>
      <left/>
      <right/>
      <top/>
      <bottom style="medium">
        <color indexed="64"/>
      </bottom>
      <diagonal/>
    </border>
    <border>
      <left style="medium">
        <color indexed="64"/>
      </left>
      <right style="thin">
        <color auto="1"/>
      </right>
      <top/>
      <bottom style="thin">
        <color auto="1"/>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theme="0"/>
      </left>
      <right style="thin">
        <color theme="0"/>
      </right>
      <top style="thin">
        <color theme="0"/>
      </top>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theme="0"/>
      </left>
      <right/>
      <top/>
      <bottom/>
      <diagonal/>
    </border>
    <border>
      <left style="thin">
        <color theme="0"/>
      </left>
      <right style="thin">
        <color theme="0"/>
      </right>
      <top/>
      <bottom/>
      <diagonal/>
    </border>
    <border>
      <left style="thin">
        <color theme="0"/>
      </left>
      <right/>
      <top/>
      <bottom style="thin">
        <color theme="0"/>
      </bottom>
      <diagonal/>
    </border>
    <border>
      <left/>
      <right/>
      <top/>
      <bottom style="thin">
        <color theme="0"/>
      </bottom>
      <diagonal/>
    </border>
    <border>
      <left style="thin">
        <color theme="0"/>
      </left>
      <right style="thin">
        <color theme="0"/>
      </right>
      <top/>
      <bottom style="thin">
        <color indexed="64"/>
      </bottom>
      <diagonal/>
    </border>
    <border>
      <left style="thin">
        <color theme="0"/>
      </left>
      <right style="thin">
        <color theme="0"/>
      </right>
      <top style="thin">
        <color theme="0"/>
      </top>
      <bottom style="thin">
        <color theme="0"/>
      </bottom>
      <diagonal/>
    </border>
    <border>
      <left style="medium">
        <color theme="0"/>
      </left>
      <right style="medium">
        <color theme="0"/>
      </right>
      <top style="thin">
        <color theme="0" tint="-0.24994659260841701"/>
      </top>
      <bottom style="thin">
        <color theme="0" tint="-0.24994659260841701"/>
      </bottom>
      <diagonal/>
    </border>
    <border>
      <left/>
      <right/>
      <top style="medium">
        <color indexed="64"/>
      </top>
      <bottom style="medium">
        <color indexed="64"/>
      </bottom>
      <diagonal/>
    </border>
    <border>
      <left style="thin">
        <color indexed="64"/>
      </left>
      <right style="medium">
        <color auto="1"/>
      </right>
      <top style="medium">
        <color indexed="64"/>
      </top>
      <bottom style="thin">
        <color indexed="64"/>
      </bottom>
      <diagonal/>
    </border>
    <border>
      <left style="thin">
        <color auto="1"/>
      </left>
      <right style="thin">
        <color auto="1"/>
      </right>
      <top style="thin">
        <color auto="1"/>
      </top>
      <bottom/>
      <diagonal/>
    </border>
    <border>
      <left style="thin">
        <color auto="1"/>
      </left>
      <right style="thin">
        <color auto="1"/>
      </right>
      <top/>
      <bottom style="double">
        <color indexed="64"/>
      </bottom>
      <diagonal/>
    </border>
    <border>
      <left style="thin">
        <color auto="1"/>
      </left>
      <right style="thin">
        <color auto="1"/>
      </right>
      <top/>
      <bottom/>
      <diagonal/>
    </border>
    <border>
      <left style="thin">
        <color auto="1"/>
      </left>
      <right style="thin">
        <color auto="1"/>
      </right>
      <top style="medium">
        <color theme="4"/>
      </top>
      <bottom style="medium">
        <color rgb="FF0070C0"/>
      </bottom>
      <diagonal/>
    </border>
    <border>
      <left style="medium">
        <color auto="1"/>
      </left>
      <right style="medium">
        <color auto="1"/>
      </right>
      <top style="thin">
        <color auto="1"/>
      </top>
      <bottom/>
      <diagonal/>
    </border>
    <border>
      <left style="medium">
        <color indexed="64"/>
      </left>
      <right style="thin">
        <color indexed="64"/>
      </right>
      <top style="thin">
        <color indexed="64"/>
      </top>
      <bottom/>
      <diagonal/>
    </border>
    <border>
      <left style="thin">
        <color auto="1"/>
      </left>
      <right style="medium">
        <color auto="1"/>
      </right>
      <top style="thin">
        <color auto="1"/>
      </top>
      <bottom/>
      <diagonal/>
    </border>
    <border>
      <left/>
      <right/>
      <top/>
      <bottom style="thin">
        <color auto="1"/>
      </bottom>
      <diagonal/>
    </border>
    <border>
      <left/>
      <right/>
      <top style="thin">
        <color auto="1"/>
      </top>
      <bottom style="thin">
        <color auto="1"/>
      </bottom>
      <diagonal/>
    </border>
    <border>
      <left/>
      <right/>
      <top style="thin">
        <color auto="1"/>
      </top>
      <bottom/>
      <diagonal/>
    </border>
    <border>
      <left/>
      <right/>
      <top style="thin">
        <color indexed="64"/>
      </top>
      <bottom style="medium">
        <color indexed="64"/>
      </bottom>
      <diagonal/>
    </border>
    <border>
      <left style="thin">
        <color auto="1"/>
      </left>
      <right/>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style="thin">
        <color auto="1"/>
      </left>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top/>
      <bottom style="thin">
        <color auto="1"/>
      </bottom>
      <diagonal/>
    </border>
    <border>
      <left style="medium">
        <color indexed="64"/>
      </left>
      <right/>
      <top style="thin">
        <color indexed="64"/>
      </top>
      <bottom style="thin">
        <color indexed="64"/>
      </bottom>
      <diagonal/>
    </border>
    <border>
      <left style="medium">
        <color indexed="64"/>
      </left>
      <right/>
      <top style="thin">
        <color indexed="64"/>
      </top>
      <bottom/>
      <diagonal/>
    </border>
    <border>
      <left style="medium">
        <color indexed="64"/>
      </left>
      <right/>
      <top style="thin">
        <color indexed="64"/>
      </top>
      <bottom style="medium">
        <color indexed="64"/>
      </bottom>
      <diagonal/>
    </border>
  </borders>
  <cellStyleXfs count="8">
    <xf numFmtId="0" fontId="0" fillId="0" borderId="0">
      <alignment vertical="center"/>
    </xf>
    <xf numFmtId="41" fontId="1" fillId="0" borderId="0" applyFont="0" applyFill="0" applyBorder="0" applyAlignment="0" applyProtection="0">
      <alignment vertical="center"/>
    </xf>
    <xf numFmtId="9" fontId="1" fillId="0" borderId="0" applyFont="0" applyFill="0" applyBorder="0" applyAlignment="0" applyProtection="0">
      <alignment vertical="center"/>
    </xf>
    <xf numFmtId="0" fontId="1" fillId="0" borderId="0">
      <alignment vertical="center"/>
    </xf>
    <xf numFmtId="0" fontId="32" fillId="0" borderId="0"/>
    <xf numFmtId="187" fontId="32" fillId="0" borderId="0" applyFont="0" applyFill="0" applyBorder="0" applyAlignment="0" applyProtection="0"/>
    <xf numFmtId="44" fontId="1" fillId="0" borderId="0" applyFont="0" applyFill="0" applyBorder="0" applyAlignment="0" applyProtection="0">
      <alignment vertical="center"/>
    </xf>
    <xf numFmtId="41" fontId="1" fillId="0" borderId="0" applyFont="0" applyFill="0" applyBorder="0" applyAlignment="0" applyProtection="0">
      <alignment vertical="center"/>
    </xf>
  </cellStyleXfs>
  <cellXfs count="241">
    <xf numFmtId="0" fontId="0" fillId="0" borderId="0" xfId="0">
      <alignment vertical="center"/>
    </xf>
    <xf numFmtId="0" fontId="2" fillId="2" borderId="1" xfId="0" applyFont="1" applyFill="1" applyBorder="1" applyAlignment="1">
      <alignment horizontal="center" vertical="center"/>
    </xf>
    <xf numFmtId="0" fontId="4" fillId="2" borderId="1" xfId="0" applyFont="1" applyFill="1" applyBorder="1" applyAlignment="1">
      <alignment horizontal="center" vertical="center" wrapText="1"/>
    </xf>
    <xf numFmtId="49" fontId="2" fillId="2" borderId="1" xfId="0" applyNumberFormat="1" applyFont="1" applyFill="1" applyBorder="1" applyAlignment="1">
      <alignment horizontal="center" vertical="center"/>
    </xf>
    <xf numFmtId="176" fontId="2" fillId="2" borderId="1" xfId="0" applyNumberFormat="1" applyFont="1" applyFill="1" applyBorder="1" applyAlignment="1">
      <alignment horizontal="center" vertical="center" wrapText="1"/>
    </xf>
    <xf numFmtId="177" fontId="2" fillId="2" borderId="1" xfId="0" applyNumberFormat="1" applyFont="1" applyFill="1" applyBorder="1" applyAlignment="1">
      <alignment horizontal="center" vertical="center" wrapText="1"/>
    </xf>
    <xf numFmtId="0" fontId="2" fillId="2" borderId="1" xfId="0" applyFont="1" applyFill="1" applyBorder="1" applyAlignment="1">
      <alignment horizontal="right" vertical="center"/>
    </xf>
    <xf numFmtId="0" fontId="5" fillId="3" borderId="1" xfId="0" applyFont="1" applyFill="1" applyBorder="1" applyAlignment="1">
      <alignment horizontal="center" vertical="center"/>
    </xf>
    <xf numFmtId="14" fontId="6" fillId="4" borderId="1" xfId="1" applyNumberFormat="1" applyFont="1" applyFill="1" applyBorder="1" applyAlignment="1">
      <alignment horizontal="center" vertical="center"/>
    </xf>
    <xf numFmtId="0" fontId="6" fillId="3" borderId="1" xfId="0" applyFont="1" applyFill="1" applyBorder="1" applyAlignment="1">
      <alignment horizontal="center" vertical="center"/>
    </xf>
    <xf numFmtId="180" fontId="6" fillId="4" borderId="1" xfId="0" applyNumberFormat="1" applyFont="1" applyFill="1" applyBorder="1" applyAlignment="1">
      <alignment horizontal="center" vertical="center"/>
    </xf>
    <xf numFmtId="0" fontId="6" fillId="4" borderId="1" xfId="0" applyFont="1" applyFill="1" applyBorder="1" applyAlignment="1">
      <alignment horizontal="center" vertical="center"/>
    </xf>
    <xf numFmtId="0" fontId="5" fillId="3" borderId="1" xfId="0" applyFont="1" applyFill="1" applyBorder="1">
      <alignment vertical="center"/>
    </xf>
    <xf numFmtId="49" fontId="5" fillId="3" borderId="1" xfId="0" applyNumberFormat="1" applyFont="1" applyFill="1" applyBorder="1" applyAlignment="1">
      <alignment horizontal="center" vertical="center"/>
    </xf>
    <xf numFmtId="176" fontId="5" fillId="3" borderId="1" xfId="0" applyNumberFormat="1" applyFont="1" applyFill="1" applyBorder="1">
      <alignment vertical="center"/>
    </xf>
    <xf numFmtId="176" fontId="6" fillId="3" borderId="1" xfId="0" applyNumberFormat="1" applyFont="1" applyFill="1" applyBorder="1" applyAlignment="1">
      <alignment horizontal="right" vertical="center"/>
    </xf>
    <xf numFmtId="177" fontId="6" fillId="3" borderId="1" xfId="0" applyNumberFormat="1" applyFont="1" applyFill="1" applyBorder="1" applyAlignment="1">
      <alignment horizontal="center" vertical="center"/>
    </xf>
    <xf numFmtId="0" fontId="6" fillId="3" borderId="1" xfId="0" applyFont="1" applyFill="1" applyBorder="1" applyAlignment="1">
      <alignment horizontal="right" vertical="center"/>
    </xf>
    <xf numFmtId="0" fontId="5" fillId="3" borderId="1" xfId="0" applyFont="1" applyFill="1" applyBorder="1" applyAlignment="1">
      <alignment horizontal="left" vertical="center"/>
    </xf>
    <xf numFmtId="49" fontId="0" fillId="0" borderId="0" xfId="0" applyNumberFormat="1">
      <alignment vertical="center"/>
    </xf>
    <xf numFmtId="0" fontId="0" fillId="0" borderId="0" xfId="0" applyAlignment="1">
      <alignment horizontal="center" vertical="center"/>
    </xf>
    <xf numFmtId="177" fontId="0" fillId="0" borderId="0" xfId="0" applyNumberFormat="1">
      <alignment vertical="center"/>
    </xf>
    <xf numFmtId="0" fontId="1" fillId="0" borderId="0" xfId="3">
      <alignment vertical="center"/>
    </xf>
    <xf numFmtId="0" fontId="9" fillId="8" borderId="2" xfId="3" applyFont="1" applyFill="1" applyBorder="1" applyAlignment="1">
      <alignment horizontal="center" vertical="center"/>
    </xf>
    <xf numFmtId="0" fontId="9" fillId="7" borderId="2" xfId="3" applyFont="1" applyFill="1" applyBorder="1" applyAlignment="1">
      <alignment horizontal="center" vertical="center"/>
    </xf>
    <xf numFmtId="181" fontId="12" fillId="9" borderId="2" xfId="3" applyNumberFormat="1" applyFont="1" applyFill="1" applyBorder="1" applyAlignment="1">
      <alignment horizontal="center" vertical="center"/>
    </xf>
    <xf numFmtId="182" fontId="13" fillId="10" borderId="2" xfId="3" applyNumberFormat="1" applyFont="1" applyFill="1" applyBorder="1" applyAlignment="1">
      <alignment horizontal="right" vertical="center"/>
    </xf>
    <xf numFmtId="182" fontId="13" fillId="7" borderId="2" xfId="3" applyNumberFormat="1" applyFont="1" applyFill="1" applyBorder="1" applyAlignment="1">
      <alignment horizontal="right" vertical="center"/>
    </xf>
    <xf numFmtId="0" fontId="0" fillId="0" borderId="0" xfId="3" applyFont="1">
      <alignment vertical="center"/>
    </xf>
    <xf numFmtId="181" fontId="14" fillId="11" borderId="2" xfId="3" applyNumberFormat="1" applyFont="1" applyFill="1" applyBorder="1" applyAlignment="1">
      <alignment horizontal="center" vertical="center"/>
    </xf>
    <xf numFmtId="182" fontId="13" fillId="11" borderId="2" xfId="3" applyNumberFormat="1" applyFont="1" applyFill="1" applyBorder="1" applyAlignment="1">
      <alignment horizontal="right" vertical="center"/>
    </xf>
    <xf numFmtId="0" fontId="9" fillId="11" borderId="2" xfId="3" applyFont="1" applyFill="1" applyBorder="1" applyAlignment="1">
      <alignment horizontal="center" vertical="center"/>
    </xf>
    <xf numFmtId="183" fontId="0" fillId="11" borderId="2" xfId="3" applyNumberFormat="1" applyFont="1" applyFill="1" applyBorder="1">
      <alignment vertical="center"/>
    </xf>
    <xf numFmtId="183" fontId="13" fillId="11" borderId="2" xfId="3" applyNumberFormat="1" applyFont="1" applyFill="1" applyBorder="1" applyAlignment="1">
      <alignment horizontal="right" vertical="center"/>
    </xf>
    <xf numFmtId="0" fontId="15" fillId="0" borderId="0" xfId="0" applyFont="1">
      <alignment vertical="center"/>
    </xf>
    <xf numFmtId="0" fontId="16" fillId="0" borderId="0" xfId="0" applyFont="1">
      <alignment vertical="center"/>
    </xf>
    <xf numFmtId="181" fontId="12" fillId="3" borderId="2" xfId="3" applyNumberFormat="1" applyFont="1" applyFill="1" applyBorder="1" applyAlignment="1">
      <alignment horizontal="center" vertical="center"/>
    </xf>
    <xf numFmtId="182" fontId="13" fillId="10" borderId="2" xfId="3" applyNumberFormat="1" applyFont="1" applyFill="1" applyBorder="1" applyAlignment="1">
      <alignment horizontal="center" vertical="center"/>
    </xf>
    <xf numFmtId="182" fontId="9" fillId="11" borderId="2" xfId="3" applyNumberFormat="1" applyFont="1" applyFill="1" applyBorder="1" applyAlignment="1">
      <alignment horizontal="center" vertical="center"/>
    </xf>
    <xf numFmtId="0" fontId="15" fillId="13" borderId="5" xfId="0" applyFont="1" applyFill="1" applyBorder="1" applyAlignment="1">
      <alignment horizontal="center" vertical="center"/>
    </xf>
    <xf numFmtId="0" fontId="19" fillId="13" borderId="6" xfId="0" applyFont="1" applyFill="1" applyBorder="1" applyAlignment="1">
      <alignment horizontal="center" vertical="center"/>
    </xf>
    <xf numFmtId="0" fontId="19" fillId="13" borderId="7" xfId="0" applyFont="1" applyFill="1" applyBorder="1" applyAlignment="1">
      <alignment horizontal="center" vertical="center"/>
    </xf>
    <xf numFmtId="0" fontId="19" fillId="14" borderId="7" xfId="0" applyFont="1" applyFill="1" applyBorder="1" applyAlignment="1">
      <alignment horizontal="center" vertical="center"/>
    </xf>
    <xf numFmtId="0" fontId="19" fillId="14" borderId="8" xfId="0" applyFont="1" applyFill="1" applyBorder="1" applyAlignment="1">
      <alignment horizontal="center" vertical="center"/>
    </xf>
    <xf numFmtId="0" fontId="19" fillId="2" borderId="9" xfId="0" applyFont="1" applyFill="1" applyBorder="1" applyAlignment="1">
      <alignment horizontal="center" vertical="center"/>
    </xf>
    <xf numFmtId="0" fontId="15" fillId="0" borderId="10" xfId="0" applyFont="1" applyBorder="1" applyAlignment="1">
      <alignment horizontal="center" vertical="center"/>
    </xf>
    <xf numFmtId="0" fontId="15" fillId="0" borderId="11" xfId="0" applyFont="1" applyBorder="1" applyAlignment="1">
      <alignment horizontal="center" vertical="center"/>
    </xf>
    <xf numFmtId="0" fontId="15" fillId="7" borderId="11" xfId="0" applyFont="1" applyFill="1" applyBorder="1" applyAlignment="1">
      <alignment horizontal="center" vertical="center"/>
    </xf>
    <xf numFmtId="9" fontId="15" fillId="7" borderId="12" xfId="0" applyNumberFormat="1" applyFont="1" applyFill="1" applyBorder="1" applyAlignment="1">
      <alignment horizontal="center" vertical="center"/>
    </xf>
    <xf numFmtId="0" fontId="19" fillId="15" borderId="13" xfId="0" applyFont="1" applyFill="1" applyBorder="1" applyAlignment="1">
      <alignment horizontal="center" vertical="center"/>
    </xf>
    <xf numFmtId="0" fontId="15" fillId="0" borderId="14" xfId="0" applyFont="1" applyBorder="1" applyAlignment="1">
      <alignment horizontal="center" vertical="center"/>
    </xf>
    <xf numFmtId="9" fontId="15" fillId="7" borderId="15" xfId="0" applyNumberFormat="1" applyFont="1" applyFill="1" applyBorder="1" applyAlignment="1">
      <alignment horizontal="center" vertical="center"/>
    </xf>
    <xf numFmtId="0" fontId="19" fillId="16" borderId="16" xfId="0" applyFont="1" applyFill="1" applyBorder="1" applyAlignment="1">
      <alignment horizontal="center" vertical="center"/>
    </xf>
    <xf numFmtId="0" fontId="15" fillId="16" borderId="17" xfId="0" applyFont="1" applyFill="1" applyBorder="1" applyAlignment="1">
      <alignment horizontal="center" vertical="center"/>
    </xf>
    <xf numFmtId="0" fontId="15" fillId="16" borderId="18" xfId="0" applyFont="1" applyFill="1" applyBorder="1" applyAlignment="1">
      <alignment horizontal="center" vertical="center"/>
    </xf>
    <xf numFmtId="0" fontId="15" fillId="7" borderId="18" xfId="0" applyFont="1" applyFill="1" applyBorder="1" applyAlignment="1">
      <alignment horizontal="center" vertical="center"/>
    </xf>
    <xf numFmtId="9" fontId="15" fillId="7" borderId="19" xfId="0" applyNumberFormat="1" applyFont="1" applyFill="1" applyBorder="1" applyAlignment="1">
      <alignment horizontal="center" vertical="center"/>
    </xf>
    <xf numFmtId="0" fontId="20" fillId="17" borderId="20" xfId="0" applyFont="1" applyFill="1" applyBorder="1" applyAlignment="1">
      <alignment horizontal="center" vertical="center"/>
    </xf>
    <xf numFmtId="183" fontId="20" fillId="17" borderId="21" xfId="0" applyNumberFormat="1" applyFont="1" applyFill="1" applyBorder="1" applyAlignment="1">
      <alignment horizontal="center" vertical="center"/>
    </xf>
    <xf numFmtId="183" fontId="20" fillId="17" borderId="22" xfId="0" applyNumberFormat="1" applyFont="1" applyFill="1" applyBorder="1" applyAlignment="1">
      <alignment horizontal="center" vertical="center"/>
    </xf>
    <xf numFmtId="183" fontId="20" fillId="7" borderId="22" xfId="0" applyNumberFormat="1" applyFont="1" applyFill="1" applyBorder="1" applyAlignment="1">
      <alignment horizontal="center" vertical="center"/>
    </xf>
    <xf numFmtId="0" fontId="15" fillId="0" borderId="2" xfId="0" applyFont="1" applyBorder="1" applyAlignment="1">
      <alignment horizontal="center" vertical="center"/>
    </xf>
    <xf numFmtId="0" fontId="15" fillId="0" borderId="24" xfId="0" applyFont="1" applyBorder="1" applyAlignment="1">
      <alignment horizontal="center" vertical="center"/>
    </xf>
    <xf numFmtId="0" fontId="15" fillId="0" borderId="25" xfId="0" applyFont="1" applyBorder="1" applyAlignment="1">
      <alignment horizontal="center" vertical="center"/>
    </xf>
    <xf numFmtId="0" fontId="0" fillId="7" borderId="25" xfId="0" applyFill="1" applyBorder="1" applyAlignment="1">
      <alignment horizontal="center" vertical="center"/>
    </xf>
    <xf numFmtId="0" fontId="8" fillId="0" borderId="0" xfId="0" applyFont="1">
      <alignment vertical="center"/>
    </xf>
    <xf numFmtId="0" fontId="21" fillId="0" borderId="0" xfId="0" applyFont="1">
      <alignment vertical="center"/>
    </xf>
    <xf numFmtId="0" fontId="19" fillId="13" borderId="27" xfId="0" applyFont="1" applyFill="1" applyBorder="1" applyAlignment="1">
      <alignment horizontal="center" vertical="center"/>
    </xf>
    <xf numFmtId="0" fontId="19" fillId="2" borderId="11" xfId="0" applyFont="1" applyFill="1" applyBorder="1" applyAlignment="1">
      <alignment horizontal="center" vertical="center"/>
    </xf>
    <xf numFmtId="0" fontId="22" fillId="0" borderId="11" xfId="0" applyFont="1" applyBorder="1" applyAlignment="1">
      <alignment horizontal="center" vertical="center"/>
    </xf>
    <xf numFmtId="9" fontId="22" fillId="0" borderId="11" xfId="0" applyNumberFormat="1" applyFont="1" applyBorder="1" applyAlignment="1">
      <alignment horizontal="center" vertical="center"/>
    </xf>
    <xf numFmtId="0" fontId="19" fillId="18" borderId="1" xfId="0" applyFont="1" applyFill="1" applyBorder="1" applyAlignment="1">
      <alignment horizontal="center" vertical="center"/>
    </xf>
    <xf numFmtId="0" fontId="15" fillId="0" borderId="1" xfId="0" applyFont="1" applyBorder="1" applyAlignment="1">
      <alignment horizontal="center" vertical="center"/>
    </xf>
    <xf numFmtId="9" fontId="22" fillId="0" borderId="1" xfId="0" applyNumberFormat="1" applyFont="1" applyBorder="1" applyAlignment="1">
      <alignment horizontal="center" vertical="center"/>
    </xf>
    <xf numFmtId="0" fontId="19" fillId="19" borderId="1" xfId="0" applyFont="1" applyFill="1" applyBorder="1" applyAlignment="1">
      <alignment horizontal="center" vertical="center"/>
    </xf>
    <xf numFmtId="0" fontId="22" fillId="20" borderId="11" xfId="0" applyFont="1" applyFill="1" applyBorder="1" applyAlignment="1">
      <alignment horizontal="center" vertical="center"/>
    </xf>
    <xf numFmtId="0" fontId="22" fillId="5" borderId="11" xfId="0" applyFont="1" applyFill="1" applyBorder="1" applyAlignment="1">
      <alignment horizontal="center" vertical="center"/>
    </xf>
    <xf numFmtId="9" fontId="22" fillId="5" borderId="11" xfId="0" applyNumberFormat="1" applyFont="1" applyFill="1" applyBorder="1" applyAlignment="1">
      <alignment horizontal="center" vertical="center"/>
    </xf>
    <xf numFmtId="0" fontId="7" fillId="0" borderId="0" xfId="0" applyFont="1">
      <alignment vertical="center"/>
    </xf>
    <xf numFmtId="0" fontId="9" fillId="0" borderId="9" xfId="0" applyFont="1" applyBorder="1" applyAlignment="1">
      <alignment horizontal="center" vertical="center"/>
    </xf>
    <xf numFmtId="0" fontId="9" fillId="0" borderId="13" xfId="0" applyFont="1" applyBorder="1" applyAlignment="1">
      <alignment horizontal="center" vertical="center"/>
    </xf>
    <xf numFmtId="0" fontId="9" fillId="0" borderId="16" xfId="0" applyFont="1" applyBorder="1" applyAlignment="1">
      <alignment horizontal="center" vertical="center"/>
    </xf>
    <xf numFmtId="182" fontId="0" fillId="0" borderId="0" xfId="0" applyNumberFormat="1" applyAlignment="1">
      <alignment horizontal="center" vertical="center"/>
    </xf>
    <xf numFmtId="0" fontId="25" fillId="0" borderId="0" xfId="0" applyFont="1" applyAlignment="1">
      <alignment horizontal="left"/>
    </xf>
    <xf numFmtId="0" fontId="16" fillId="0" borderId="0" xfId="0" applyFont="1" applyAlignment="1">
      <alignment horizontal="center" vertical="center"/>
    </xf>
    <xf numFmtId="0" fontId="26" fillId="21" borderId="43" xfId="0" applyFont="1" applyFill="1" applyBorder="1" applyAlignment="1">
      <alignment horizontal="center" vertical="center"/>
    </xf>
    <xf numFmtId="183" fontId="15" fillId="0" borderId="44" xfId="2" applyNumberFormat="1" applyFont="1" applyBorder="1" applyAlignment="1">
      <alignment horizontal="center" vertical="center"/>
    </xf>
    <xf numFmtId="182" fontId="15" fillId="0" borderId="44" xfId="2" applyNumberFormat="1" applyFont="1" applyBorder="1" applyAlignment="1">
      <alignment horizontal="center" vertical="center"/>
    </xf>
    <xf numFmtId="184" fontId="15" fillId="0" borderId="44" xfId="2" applyNumberFormat="1" applyFont="1" applyBorder="1" applyAlignment="1">
      <alignment horizontal="center" vertical="center"/>
    </xf>
    <xf numFmtId="182" fontId="26" fillId="21" borderId="43" xfId="0" applyNumberFormat="1" applyFont="1" applyFill="1" applyBorder="1" applyAlignment="1">
      <alignment horizontal="center" vertical="center"/>
    </xf>
    <xf numFmtId="184" fontId="26" fillId="21" borderId="43" xfId="0" applyNumberFormat="1" applyFont="1" applyFill="1" applyBorder="1" applyAlignment="1">
      <alignment horizontal="center" vertical="center"/>
    </xf>
    <xf numFmtId="0" fontId="2" fillId="2" borderId="1" xfId="0" applyFont="1" applyFill="1" applyBorder="1" applyAlignment="1">
      <alignment horizontal="left" vertical="center"/>
    </xf>
    <xf numFmtId="0" fontId="0" fillId="0" borderId="0" xfId="0" applyAlignment="1">
      <alignment horizontal="left" vertical="center"/>
    </xf>
    <xf numFmtId="41" fontId="1" fillId="0" borderId="0" xfId="1">
      <alignment vertical="center"/>
    </xf>
    <xf numFmtId="0" fontId="28" fillId="7" borderId="11" xfId="0" applyFont="1" applyFill="1" applyBorder="1" applyAlignment="1">
      <alignment horizontal="center" vertical="center"/>
    </xf>
    <xf numFmtId="0" fontId="29" fillId="7" borderId="11" xfId="0" applyFont="1" applyFill="1" applyBorder="1">
      <alignment vertical="center"/>
    </xf>
    <xf numFmtId="186" fontId="29" fillId="7" borderId="11" xfId="0" applyNumberFormat="1" applyFont="1" applyFill="1" applyBorder="1">
      <alignment vertical="center"/>
    </xf>
    <xf numFmtId="0" fontId="28" fillId="23" borderId="1" xfId="0" applyFont="1" applyFill="1" applyBorder="1" applyAlignment="1">
      <alignment horizontal="center" vertical="center"/>
    </xf>
    <xf numFmtId="0" fontId="29" fillId="23" borderId="1" xfId="0" applyFont="1" applyFill="1" applyBorder="1">
      <alignment vertical="center"/>
    </xf>
    <xf numFmtId="0" fontId="29" fillId="23" borderId="11" xfId="0" applyFont="1" applyFill="1" applyBorder="1">
      <alignment vertical="center"/>
    </xf>
    <xf numFmtId="186" fontId="29" fillId="23" borderId="1" xfId="0" applyNumberFormat="1" applyFont="1" applyFill="1" applyBorder="1">
      <alignment vertical="center"/>
    </xf>
    <xf numFmtId="182" fontId="29" fillId="7" borderId="11" xfId="0" applyNumberFormat="1" applyFont="1" applyFill="1" applyBorder="1">
      <alignment vertical="center"/>
    </xf>
    <xf numFmtId="182" fontId="29" fillId="23" borderId="1" xfId="0" applyNumberFormat="1" applyFont="1" applyFill="1" applyBorder="1">
      <alignment vertical="center"/>
    </xf>
    <xf numFmtId="182" fontId="1" fillId="0" borderId="0" xfId="3" applyNumberFormat="1">
      <alignment vertical="center"/>
    </xf>
    <xf numFmtId="182" fontId="0" fillId="0" borderId="0" xfId="3" applyNumberFormat="1" applyFont="1">
      <alignment vertical="center"/>
    </xf>
    <xf numFmtId="0" fontId="28" fillId="7" borderId="49" xfId="0" applyFont="1" applyFill="1" applyBorder="1" applyAlignment="1">
      <alignment horizontal="center" vertical="center"/>
    </xf>
    <xf numFmtId="182" fontId="29" fillId="7" borderId="49" xfId="0" applyNumberFormat="1" applyFont="1" applyFill="1" applyBorder="1">
      <alignment vertical="center"/>
    </xf>
    <xf numFmtId="0" fontId="29" fillId="7" borderId="49" xfId="0" applyFont="1" applyFill="1" applyBorder="1">
      <alignment vertical="center"/>
    </xf>
    <xf numFmtId="186" fontId="29" fillId="7" borderId="49" xfId="0" applyNumberFormat="1" applyFont="1" applyFill="1" applyBorder="1">
      <alignment vertical="center"/>
    </xf>
    <xf numFmtId="0" fontId="30" fillId="13" borderId="50" xfId="0" applyFont="1" applyFill="1" applyBorder="1" applyAlignment="1">
      <alignment horizontal="center" vertical="center"/>
    </xf>
    <xf numFmtId="182" fontId="30" fillId="13" borderId="50" xfId="0" applyNumberFormat="1" applyFont="1" applyFill="1" applyBorder="1">
      <alignment vertical="center"/>
    </xf>
    <xf numFmtId="0" fontId="30" fillId="13" borderId="50" xfId="0" applyFont="1" applyFill="1" applyBorder="1">
      <alignment vertical="center"/>
    </xf>
    <xf numFmtId="0" fontId="5" fillId="8" borderId="1" xfId="0" applyFont="1" applyFill="1" applyBorder="1" applyAlignment="1">
      <alignment horizontal="center" vertical="center"/>
    </xf>
    <xf numFmtId="178" fontId="6" fillId="24" borderId="1" xfId="1" applyNumberFormat="1" applyFont="1" applyFill="1" applyBorder="1" applyAlignment="1">
      <alignment horizontal="center" vertical="center"/>
    </xf>
    <xf numFmtId="0" fontId="9" fillId="0" borderId="0" xfId="3" applyFont="1">
      <alignment vertical="center"/>
    </xf>
    <xf numFmtId="0" fontId="9" fillId="5" borderId="0" xfId="3" applyFont="1" applyFill="1" applyAlignment="1">
      <alignment horizontal="center" vertical="center"/>
    </xf>
    <xf numFmtId="0" fontId="0" fillId="0" borderId="0" xfId="3" applyFont="1" applyAlignment="1">
      <alignment horizontal="center" vertical="center"/>
    </xf>
    <xf numFmtId="179" fontId="33" fillId="3" borderId="1" xfId="0" applyNumberFormat="1" applyFont="1" applyFill="1" applyBorder="1" applyAlignment="1">
      <alignment horizontal="center" vertical="center"/>
    </xf>
    <xf numFmtId="0" fontId="9" fillId="0" borderId="51" xfId="0" applyFont="1" applyBorder="1" applyAlignment="1">
      <alignment horizontal="center" vertical="center"/>
    </xf>
    <xf numFmtId="0" fontId="2" fillId="2" borderId="1" xfId="0" applyFont="1" applyFill="1" applyBorder="1" applyAlignment="1">
      <alignment horizontal="center" vertical="center" wrapText="1"/>
    </xf>
    <xf numFmtId="0" fontId="5" fillId="3" borderId="1" xfId="0" applyFont="1" applyFill="1" applyBorder="1" applyAlignment="1">
      <alignment vertical="center" wrapText="1"/>
    </xf>
    <xf numFmtId="0" fontId="0" fillId="0" borderId="0" xfId="0" applyAlignment="1">
      <alignment vertical="center" wrapText="1"/>
    </xf>
    <xf numFmtId="184" fontId="13" fillId="10" borderId="2" xfId="3" applyNumberFormat="1" applyFont="1" applyFill="1" applyBorder="1" applyAlignment="1">
      <alignment horizontal="right" vertical="center"/>
    </xf>
    <xf numFmtId="184" fontId="13" fillId="11" borderId="2" xfId="3" applyNumberFormat="1" applyFont="1" applyFill="1" applyBorder="1" applyAlignment="1">
      <alignment horizontal="right" vertical="center"/>
    </xf>
    <xf numFmtId="184" fontId="13" fillId="7" borderId="2" xfId="3" applyNumberFormat="1" applyFont="1" applyFill="1" applyBorder="1" applyAlignment="1">
      <alignment horizontal="right" vertical="center"/>
    </xf>
    <xf numFmtId="43" fontId="1" fillId="0" borderId="0" xfId="3" applyNumberFormat="1">
      <alignment vertical="center"/>
    </xf>
    <xf numFmtId="0" fontId="0" fillId="25" borderId="0" xfId="3" applyFont="1" applyFill="1">
      <alignment vertical="center"/>
    </xf>
    <xf numFmtId="0" fontId="1" fillId="25" borderId="0" xfId="3" applyFill="1">
      <alignment vertical="center"/>
    </xf>
    <xf numFmtId="0" fontId="34" fillId="25" borderId="0" xfId="3" applyFont="1" applyFill="1" applyAlignment="1">
      <alignment horizontal="right" vertical="center"/>
    </xf>
    <xf numFmtId="0" fontId="35" fillId="25" borderId="0" xfId="3" applyFont="1" applyFill="1" applyAlignment="1">
      <alignment horizontal="left" vertical="center"/>
    </xf>
    <xf numFmtId="0" fontId="36" fillId="25" borderId="0" xfId="3" applyFont="1" applyFill="1">
      <alignment vertical="center"/>
    </xf>
    <xf numFmtId="0" fontId="9" fillId="26" borderId="16" xfId="0" applyFont="1" applyFill="1" applyBorder="1" applyAlignment="1">
      <alignment horizontal="center" vertical="center"/>
    </xf>
    <xf numFmtId="188" fontId="0" fillId="0" borderId="0" xfId="1" applyNumberFormat="1" applyFont="1" applyAlignment="1">
      <alignment horizontal="center" vertical="center"/>
    </xf>
    <xf numFmtId="41" fontId="0" fillId="0" borderId="30" xfId="1" applyFont="1" applyBorder="1" applyAlignment="1">
      <alignment horizontal="center" vertical="center"/>
    </xf>
    <xf numFmtId="41" fontId="0" fillId="0" borderId="31" xfId="1" applyFont="1" applyBorder="1" applyAlignment="1">
      <alignment horizontal="center" vertical="center"/>
    </xf>
    <xf numFmtId="41" fontId="0" fillId="0" borderId="12" xfId="1" applyFont="1" applyBorder="1" applyAlignment="1">
      <alignment horizontal="center" vertical="center"/>
    </xf>
    <xf numFmtId="41" fontId="0" fillId="0" borderId="32" xfId="1" applyFont="1" applyBorder="1" applyAlignment="1">
      <alignment horizontal="center" vertical="center"/>
    </xf>
    <xf numFmtId="41" fontId="0" fillId="0" borderId="1" xfId="1" applyFont="1" applyBorder="1" applyAlignment="1">
      <alignment horizontal="center" vertical="center"/>
    </xf>
    <xf numFmtId="41" fontId="0" fillId="0" borderId="15" xfId="1" applyFont="1" applyBorder="1" applyAlignment="1">
      <alignment horizontal="center" vertical="center"/>
    </xf>
    <xf numFmtId="41" fontId="0" fillId="0" borderId="52" xfId="1" applyFont="1" applyBorder="1" applyAlignment="1">
      <alignment horizontal="center" vertical="center"/>
    </xf>
    <xf numFmtId="41" fontId="0" fillId="0" borderId="47" xfId="1" applyFont="1" applyBorder="1" applyAlignment="1">
      <alignment horizontal="center" vertical="center"/>
    </xf>
    <xf numFmtId="41" fontId="0" fillId="0" borderId="53" xfId="1" applyFont="1" applyBorder="1" applyAlignment="1">
      <alignment horizontal="center" vertical="center"/>
    </xf>
    <xf numFmtId="41" fontId="0" fillId="0" borderId="33" xfId="1" applyFont="1" applyBorder="1" applyAlignment="1">
      <alignment horizontal="center" vertical="center"/>
    </xf>
    <xf numFmtId="41" fontId="0" fillId="0" borderId="18" xfId="1" applyFont="1" applyBorder="1" applyAlignment="1">
      <alignment horizontal="center" vertical="center"/>
    </xf>
    <xf numFmtId="41" fontId="0" fillId="0" borderId="19" xfId="1" applyFont="1" applyBorder="1" applyAlignment="1">
      <alignment horizontal="center" vertical="center"/>
    </xf>
    <xf numFmtId="41" fontId="0" fillId="26" borderId="33" xfId="1" applyFont="1" applyFill="1" applyBorder="1" applyAlignment="1">
      <alignment horizontal="center" vertical="center"/>
    </xf>
    <xf numFmtId="41" fontId="0" fillId="26" borderId="18" xfId="1" applyFont="1" applyFill="1" applyBorder="1" applyAlignment="1">
      <alignment horizontal="center" vertical="center"/>
    </xf>
    <xf numFmtId="41" fontId="0" fillId="26" borderId="19" xfId="1" applyFont="1" applyFill="1" applyBorder="1" applyAlignment="1">
      <alignment horizontal="center" vertical="center"/>
    </xf>
    <xf numFmtId="0" fontId="0" fillId="0" borderId="0" xfId="0" applyAlignment="1">
      <alignment horizontal="right" vertical="center"/>
    </xf>
    <xf numFmtId="41" fontId="0" fillId="0" borderId="54" xfId="1" applyFont="1" applyBorder="1" applyAlignment="1">
      <alignment horizontal="center" vertical="center"/>
    </xf>
    <xf numFmtId="41" fontId="0" fillId="0" borderId="55" xfId="1" applyFont="1" applyBorder="1" applyAlignment="1">
      <alignment horizontal="center" vertical="center"/>
    </xf>
    <xf numFmtId="41" fontId="0" fillId="0" borderId="56" xfId="1" applyFont="1" applyBorder="1" applyAlignment="1">
      <alignment horizontal="center" vertical="center"/>
    </xf>
    <xf numFmtId="41" fontId="0" fillId="0" borderId="57" xfId="1" applyFont="1" applyBorder="1" applyAlignment="1">
      <alignment horizontal="center" vertical="center"/>
    </xf>
    <xf numFmtId="41" fontId="0" fillId="26" borderId="57" xfId="1" applyFont="1" applyFill="1" applyBorder="1" applyAlignment="1">
      <alignment horizontal="center" vertical="center"/>
    </xf>
    <xf numFmtId="182" fontId="9" fillId="9" borderId="4" xfId="0" applyNumberFormat="1" applyFont="1" applyFill="1" applyBorder="1" applyAlignment="1">
      <alignment horizontal="left" vertical="center"/>
    </xf>
    <xf numFmtId="41" fontId="0" fillId="0" borderId="58" xfId="1" applyFont="1" applyBorder="1" applyAlignment="1">
      <alignment horizontal="center" vertical="center"/>
    </xf>
    <xf numFmtId="41" fontId="0" fillId="0" borderId="59" xfId="1" applyFont="1" applyBorder="1" applyAlignment="1">
      <alignment horizontal="center" vertical="center"/>
    </xf>
    <xf numFmtId="41" fontId="0" fillId="0" borderId="60" xfId="1" applyFont="1" applyBorder="1" applyAlignment="1">
      <alignment horizontal="center" vertical="center"/>
    </xf>
    <xf numFmtId="41" fontId="0" fillId="0" borderId="61" xfId="1" applyFont="1" applyBorder="1" applyAlignment="1">
      <alignment horizontal="center" vertical="center"/>
    </xf>
    <xf numFmtId="41" fontId="0" fillId="26" borderId="61" xfId="1" applyFont="1" applyFill="1" applyBorder="1" applyAlignment="1">
      <alignment horizontal="center" vertical="center"/>
    </xf>
    <xf numFmtId="188" fontId="0" fillId="0" borderId="46" xfId="1" applyNumberFormat="1" applyFont="1" applyBorder="1" applyAlignment="1">
      <alignment horizontal="center" vertical="center"/>
    </xf>
    <xf numFmtId="188" fontId="0" fillId="0" borderId="15" xfId="1" applyNumberFormat="1" applyFont="1" applyBorder="1" applyAlignment="1">
      <alignment horizontal="center" vertical="center"/>
    </xf>
    <xf numFmtId="188" fontId="0" fillId="0" borderId="53" xfId="1" applyNumberFormat="1" applyFont="1" applyBorder="1" applyAlignment="1">
      <alignment horizontal="center" vertical="center"/>
    </xf>
    <xf numFmtId="188" fontId="0" fillId="0" borderId="19" xfId="1" applyNumberFormat="1" applyFont="1" applyBorder="1" applyAlignment="1">
      <alignment horizontal="center" vertical="center"/>
    </xf>
    <xf numFmtId="188" fontId="0" fillId="26" borderId="19" xfId="1" applyNumberFormat="1" applyFont="1" applyFill="1" applyBorder="1" applyAlignment="1">
      <alignment horizontal="center" vertical="center"/>
    </xf>
    <xf numFmtId="0" fontId="24" fillId="9" borderId="62" xfId="0" applyFont="1" applyFill="1" applyBorder="1" applyAlignment="1">
      <alignment horizontal="center" vertical="center"/>
    </xf>
    <xf numFmtId="0" fontId="24" fillId="9" borderId="25" xfId="0" applyFont="1" applyFill="1" applyBorder="1" applyAlignment="1">
      <alignment horizontal="center" vertical="center"/>
    </xf>
    <xf numFmtId="182" fontId="9" fillId="9" borderId="63" xfId="0" applyNumberFormat="1" applyFont="1" applyFill="1" applyBorder="1" applyAlignment="1">
      <alignment horizontal="center" vertical="center"/>
    </xf>
    <xf numFmtId="0" fontId="24" fillId="9" borderId="3" xfId="0" applyFont="1" applyFill="1" applyBorder="1" applyAlignment="1">
      <alignment horizontal="center" vertical="center"/>
    </xf>
    <xf numFmtId="41" fontId="0" fillId="0" borderId="64" xfId="1" applyFont="1" applyBorder="1" applyAlignment="1">
      <alignment horizontal="center" vertical="center"/>
    </xf>
    <xf numFmtId="41" fontId="0" fillId="0" borderId="65" xfId="1" applyFont="1" applyBorder="1" applyAlignment="1">
      <alignment horizontal="center" vertical="center"/>
    </xf>
    <xf numFmtId="41" fontId="0" fillId="0" borderId="66" xfId="1" applyFont="1" applyBorder="1" applyAlignment="1">
      <alignment horizontal="center" vertical="center"/>
    </xf>
    <xf numFmtId="41" fontId="0" fillId="0" borderId="67" xfId="1" applyFont="1" applyBorder="1" applyAlignment="1">
      <alignment horizontal="center" vertical="center"/>
    </xf>
    <xf numFmtId="41" fontId="0" fillId="26" borderId="67" xfId="1" applyFont="1" applyFill="1" applyBorder="1" applyAlignment="1">
      <alignment horizontal="center" vertical="center"/>
    </xf>
    <xf numFmtId="0" fontId="24" fillId="9" borderId="26" xfId="0" applyFont="1" applyFill="1" applyBorder="1" applyAlignment="1">
      <alignment horizontal="center" vertical="center"/>
    </xf>
    <xf numFmtId="0" fontId="9" fillId="19" borderId="45" xfId="0" applyFont="1" applyFill="1" applyBorder="1" applyAlignment="1">
      <alignment horizontal="center" vertical="center"/>
    </xf>
    <xf numFmtId="0" fontId="9" fillId="19" borderId="26" xfId="0" applyFont="1" applyFill="1" applyBorder="1" applyAlignment="1">
      <alignment horizontal="center" vertical="center"/>
    </xf>
    <xf numFmtId="9" fontId="0" fillId="7" borderId="26" xfId="2" applyFont="1" applyFill="1" applyBorder="1" applyAlignment="1">
      <alignment horizontal="center" vertical="center"/>
    </xf>
    <xf numFmtId="183" fontId="0" fillId="0" borderId="0" xfId="0" applyNumberFormat="1">
      <alignment vertical="center"/>
    </xf>
    <xf numFmtId="183" fontId="15" fillId="7" borderId="23" xfId="2" applyNumberFormat="1" applyFont="1" applyFill="1" applyBorder="1" applyAlignment="1">
      <alignment horizontal="center" vertical="center"/>
    </xf>
    <xf numFmtId="189" fontId="0" fillId="0" borderId="0" xfId="0" applyNumberFormat="1" applyAlignment="1">
      <alignment vertical="center" wrapText="1"/>
    </xf>
    <xf numFmtId="189" fontId="0" fillId="0" borderId="0" xfId="0" applyNumberFormat="1">
      <alignment vertical="center"/>
    </xf>
    <xf numFmtId="41" fontId="9" fillId="5" borderId="0" xfId="1" applyFont="1" applyFill="1" applyAlignment="1">
      <alignment horizontal="left" vertical="center"/>
    </xf>
    <xf numFmtId="0" fontId="37" fillId="0" borderId="0" xfId="3" applyFont="1">
      <alignment vertical="center"/>
    </xf>
    <xf numFmtId="0" fontId="37" fillId="25" borderId="0" xfId="3" applyFont="1" applyFill="1">
      <alignment vertical="center"/>
    </xf>
    <xf numFmtId="190" fontId="2" fillId="2" borderId="1" xfId="0" applyNumberFormat="1" applyFont="1" applyFill="1" applyBorder="1" applyAlignment="1">
      <alignment horizontal="center" vertical="center"/>
    </xf>
    <xf numFmtId="190" fontId="0" fillId="0" borderId="0" xfId="0" applyNumberFormat="1">
      <alignment vertical="center"/>
    </xf>
    <xf numFmtId="191" fontId="4" fillId="2" borderId="1" xfId="1" applyNumberFormat="1" applyFont="1" applyFill="1" applyBorder="1" applyAlignment="1">
      <alignment horizontal="center" vertical="center" wrapText="1"/>
    </xf>
    <xf numFmtId="191" fontId="0" fillId="0" borderId="0" xfId="1" applyNumberFormat="1" applyFont="1" applyAlignment="1">
      <alignment horizontal="center" vertical="center"/>
    </xf>
    <xf numFmtId="191" fontId="5" fillId="8" borderId="1" xfId="1" applyNumberFormat="1" applyFont="1" applyFill="1" applyBorder="1" applyAlignment="1">
      <alignment horizontal="center" vertical="center"/>
    </xf>
    <xf numFmtId="186" fontId="31" fillId="5" borderId="50" xfId="0" applyNumberFormat="1" applyFont="1" applyFill="1" applyBorder="1">
      <alignment vertical="center"/>
    </xf>
    <xf numFmtId="184" fontId="38" fillId="5" borderId="2" xfId="3" applyNumberFormat="1" applyFont="1" applyFill="1" applyBorder="1" applyAlignment="1">
      <alignment horizontal="right" vertical="center"/>
    </xf>
    <xf numFmtId="0" fontId="22" fillId="15" borderId="11" xfId="0" applyFont="1" applyFill="1" applyBorder="1" applyAlignment="1">
      <alignment horizontal="center" vertical="center"/>
    </xf>
    <xf numFmtId="0" fontId="35" fillId="0" borderId="0" xfId="0" applyFont="1">
      <alignment vertical="center"/>
    </xf>
    <xf numFmtId="192" fontId="0" fillId="0" borderId="0" xfId="0" applyNumberFormat="1" applyAlignment="1">
      <alignment vertical="center" wrapText="1"/>
    </xf>
    <xf numFmtId="192" fontId="0" fillId="0" borderId="0" xfId="0" applyNumberFormat="1">
      <alignment vertical="center"/>
    </xf>
    <xf numFmtId="0" fontId="4" fillId="2" borderId="1" xfId="0" applyFont="1" applyFill="1" applyBorder="1" applyAlignment="1">
      <alignment horizontal="center" vertical="center"/>
    </xf>
    <xf numFmtId="0" fontId="5" fillId="5" borderId="1" xfId="0" applyFont="1" applyFill="1" applyBorder="1" applyAlignment="1">
      <alignment horizontal="left" vertical="center"/>
    </xf>
    <xf numFmtId="0" fontId="5" fillId="5" borderId="1" xfId="0" applyFont="1" applyFill="1" applyBorder="1">
      <alignment vertical="center"/>
    </xf>
    <xf numFmtId="0" fontId="0" fillId="5" borderId="0" xfId="0" applyFill="1">
      <alignment vertical="center"/>
    </xf>
    <xf numFmtId="14" fontId="1" fillId="0" borderId="0" xfId="3" applyNumberFormat="1">
      <alignment vertical="center"/>
    </xf>
    <xf numFmtId="14" fontId="5" fillId="3" borderId="1" xfId="0" applyNumberFormat="1" applyFont="1" applyFill="1" applyBorder="1" applyAlignment="1">
      <alignment horizontal="center" vertical="center"/>
    </xf>
    <xf numFmtId="0" fontId="6" fillId="3" borderId="49" xfId="0" applyFont="1" applyFill="1" applyBorder="1" applyAlignment="1">
      <alignment horizontal="center" vertical="center"/>
    </xf>
    <xf numFmtId="0" fontId="27" fillId="22" borderId="1" xfId="0" applyFont="1" applyFill="1" applyBorder="1" applyAlignment="1">
      <alignment horizontal="center" vertical="center" wrapText="1"/>
    </xf>
    <xf numFmtId="0" fontId="27" fillId="22" borderId="27" xfId="0" applyFont="1" applyFill="1" applyBorder="1" applyAlignment="1">
      <alignment horizontal="center" vertical="center" wrapText="1"/>
    </xf>
    <xf numFmtId="0" fontId="10" fillId="5" borderId="3" xfId="3" applyFont="1" applyFill="1" applyBorder="1" applyAlignment="1">
      <alignment horizontal="center" vertical="center" wrapText="1"/>
    </xf>
    <xf numFmtId="0" fontId="10" fillId="5" borderId="4" xfId="3" applyFont="1" applyFill="1" applyBorder="1" applyAlignment="1">
      <alignment horizontal="center" vertical="center" wrapText="1"/>
    </xf>
    <xf numFmtId="0" fontId="10" fillId="7" borderId="3" xfId="3" applyFont="1" applyFill="1" applyBorder="1" applyAlignment="1">
      <alignment horizontal="center" vertical="center" wrapText="1"/>
    </xf>
    <xf numFmtId="0" fontId="10" fillId="7" borderId="4" xfId="3" applyFont="1" applyFill="1" applyBorder="1" applyAlignment="1">
      <alignment horizontal="center" vertical="center" wrapText="1"/>
    </xf>
    <xf numFmtId="0" fontId="27" fillId="22" borderId="47" xfId="0" applyFont="1" applyFill="1" applyBorder="1" applyAlignment="1">
      <alignment horizontal="center" vertical="center"/>
    </xf>
    <xf numFmtId="0" fontId="27" fillId="22" borderId="48" xfId="0" applyFont="1" applyFill="1" applyBorder="1" applyAlignment="1">
      <alignment horizontal="center" vertical="center"/>
    </xf>
    <xf numFmtId="0" fontId="8" fillId="0" borderId="0" xfId="3" applyFont="1" applyAlignment="1">
      <alignment horizontal="left" vertical="center"/>
    </xf>
    <xf numFmtId="0" fontId="1" fillId="0" borderId="0" xfId="3" applyAlignment="1">
      <alignment horizontal="left" vertical="center"/>
    </xf>
    <xf numFmtId="0" fontId="10" fillId="6" borderId="2" xfId="3" applyFont="1" applyFill="1" applyBorder="1" applyAlignment="1">
      <alignment horizontal="center" vertical="center" wrapText="1"/>
    </xf>
    <xf numFmtId="0" fontId="23" fillId="0" borderId="3" xfId="0" applyFont="1" applyBorder="1" applyAlignment="1">
      <alignment horizontal="center" vertical="center"/>
    </xf>
    <xf numFmtId="0" fontId="23" fillId="0" borderId="45" xfId="0" applyFont="1" applyBorder="1" applyAlignment="1">
      <alignment horizontal="center" vertical="center"/>
    </xf>
    <xf numFmtId="0" fontId="23" fillId="0" borderId="4" xfId="0" applyFont="1" applyBorder="1" applyAlignment="1">
      <alignment horizontal="center" vertical="center"/>
    </xf>
    <xf numFmtId="191" fontId="9" fillId="5" borderId="2" xfId="0" applyNumberFormat="1" applyFont="1" applyFill="1" applyBorder="1" applyAlignment="1">
      <alignment horizontal="center" vertical="center"/>
    </xf>
    <xf numFmtId="0" fontId="9" fillId="9" borderId="3" xfId="0" applyFont="1" applyFill="1" applyBorder="1" applyAlignment="1">
      <alignment horizontal="center" vertical="center"/>
    </xf>
    <xf numFmtId="0" fontId="9" fillId="9" borderId="4" xfId="0" applyFont="1" applyFill="1" applyBorder="1" applyAlignment="1">
      <alignment horizontal="center" vertical="center"/>
    </xf>
    <xf numFmtId="0" fontId="9" fillId="19" borderId="4" xfId="0" applyFont="1" applyFill="1" applyBorder="1" applyAlignment="1">
      <alignment horizontal="center" vertical="center"/>
    </xf>
    <xf numFmtId="0" fontId="9" fillId="19" borderId="2" xfId="0" applyFont="1" applyFill="1" applyBorder="1" applyAlignment="1">
      <alignment horizontal="center" vertical="center"/>
    </xf>
    <xf numFmtId="0" fontId="9" fillId="9" borderId="45" xfId="0" applyFont="1" applyFill="1" applyBorder="1" applyAlignment="1">
      <alignment horizontal="center" vertical="center"/>
    </xf>
    <xf numFmtId="0" fontId="23" fillId="0" borderId="28" xfId="0" applyFont="1" applyBorder="1" applyAlignment="1">
      <alignment horizontal="center" vertical="center"/>
    </xf>
    <xf numFmtId="0" fontId="23" fillId="0" borderId="29" xfId="0" applyFont="1" applyBorder="1" applyAlignment="1">
      <alignment horizontal="center" vertical="center"/>
    </xf>
    <xf numFmtId="178" fontId="9" fillId="5" borderId="2" xfId="0" applyNumberFormat="1" applyFont="1" applyFill="1" applyBorder="1" applyAlignment="1">
      <alignment horizontal="center" vertical="center"/>
    </xf>
    <xf numFmtId="185" fontId="9" fillId="5" borderId="2" xfId="0" applyNumberFormat="1" applyFont="1" applyFill="1" applyBorder="1" applyAlignment="1">
      <alignment horizontal="center" vertical="center"/>
    </xf>
    <xf numFmtId="0" fontId="8" fillId="0" borderId="0" xfId="0" applyFont="1" applyAlignment="1">
      <alignment horizontal="left" vertical="center"/>
    </xf>
    <xf numFmtId="0" fontId="10" fillId="12" borderId="2" xfId="3" applyFont="1" applyFill="1" applyBorder="1" applyAlignment="1">
      <alignment horizontal="center" vertical="center" wrapText="1"/>
    </xf>
    <xf numFmtId="0" fontId="1" fillId="0" borderId="2" xfId="3" applyBorder="1">
      <alignment vertical="center"/>
    </xf>
    <xf numFmtId="0" fontId="17" fillId="12" borderId="2" xfId="3" applyFont="1" applyFill="1" applyBorder="1" applyAlignment="1">
      <alignment horizontal="center" vertical="center" wrapText="1"/>
    </xf>
    <xf numFmtId="0" fontId="26" fillId="21" borderId="34" xfId="0" applyFont="1" applyFill="1" applyBorder="1" applyAlignment="1">
      <alignment horizontal="center" vertical="center"/>
    </xf>
    <xf numFmtId="0" fontId="26" fillId="21" borderId="39" xfId="0" applyFont="1" applyFill="1" applyBorder="1" applyAlignment="1">
      <alignment horizontal="center" vertical="center"/>
    </xf>
    <xf numFmtId="0" fontId="26" fillId="21" borderId="42" xfId="0" applyFont="1" applyFill="1" applyBorder="1" applyAlignment="1">
      <alignment horizontal="center" vertical="center"/>
    </xf>
    <xf numFmtId="0" fontId="26" fillId="21" borderId="35" xfId="0" applyFont="1" applyFill="1" applyBorder="1" applyAlignment="1">
      <alignment horizontal="center" vertical="center"/>
    </xf>
    <xf numFmtId="0" fontId="26" fillId="21" borderId="36" xfId="0" applyFont="1" applyFill="1" applyBorder="1" applyAlignment="1">
      <alignment horizontal="center" vertical="center"/>
    </xf>
    <xf numFmtId="0" fontId="26" fillId="21" borderId="37" xfId="0" applyFont="1" applyFill="1" applyBorder="1" applyAlignment="1">
      <alignment horizontal="center" vertical="center"/>
    </xf>
    <xf numFmtId="0" fontId="26" fillId="21" borderId="38" xfId="0" applyFont="1" applyFill="1" applyBorder="1" applyAlignment="1">
      <alignment horizontal="center" vertical="center"/>
    </xf>
    <xf numFmtId="0" fontId="26" fillId="21" borderId="0" xfId="0" applyFont="1" applyFill="1" applyAlignment="1">
      <alignment horizontal="center" vertical="center"/>
    </xf>
    <xf numFmtId="0" fontId="26" fillId="21" borderId="40" xfId="0" applyFont="1" applyFill="1" applyBorder="1" applyAlignment="1">
      <alignment horizontal="center" vertical="center"/>
    </xf>
    <xf numFmtId="0" fontId="26" fillId="21" borderId="41" xfId="0" applyFont="1" applyFill="1" applyBorder="1" applyAlignment="1">
      <alignment horizontal="center" vertical="center"/>
    </xf>
  </cellXfs>
  <cellStyles count="8">
    <cellStyle name="Currency 2" xfId="5" xr:uid="{00000000-0005-0000-0000-000000000000}"/>
    <cellStyle name="Normal 2" xfId="4" xr:uid="{00000000-0005-0000-0000-000001000000}"/>
    <cellStyle name="백분율" xfId="2" builtinId="5"/>
    <cellStyle name="쉼표 [0]" xfId="1" builtinId="6"/>
    <cellStyle name="쉼표 [0] 2" xfId="7" xr:uid="{00000000-0005-0000-0000-000004000000}"/>
    <cellStyle name="통화 2" xfId="6" xr:uid="{00000000-0005-0000-0000-000005000000}"/>
    <cellStyle name="표준" xfId="0" builtinId="0"/>
    <cellStyle name="표준 3 2" xfId="3" xr:uid="{00000000-0005-0000-0000-000007000000}"/>
  </cellStyles>
  <dxfs count="135">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
      <font>
        <color rgb="FFFF000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0.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1.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2000" b="0" i="0" u="none" strike="noStrike" kern="1200" spc="0" baseline="0">
                <a:solidFill>
                  <a:schemeClr val="tx1">
                    <a:lumMod val="65000"/>
                    <a:lumOff val="35000"/>
                  </a:schemeClr>
                </a:solidFill>
                <a:latin typeface="+mn-lt"/>
                <a:ea typeface="+mn-ea"/>
                <a:cs typeface="+mn-cs"/>
              </a:defRPr>
            </a:pPr>
            <a:r>
              <a:rPr lang="en-US" sz="2000"/>
              <a:t> E-Board Repair Count &amp; Cost Reduction Status</a:t>
            </a:r>
            <a:endParaRPr lang="ko-KR" sz="2000"/>
          </a:p>
        </c:rich>
      </c:tx>
      <c:overlay val="0"/>
      <c:spPr>
        <a:noFill/>
        <a:ln>
          <a:noFill/>
        </a:ln>
        <a:effectLst/>
      </c:spPr>
      <c:txPr>
        <a:bodyPr rot="0" spcFirstLastPara="1" vertOverflow="ellipsis" vert="horz" wrap="square" anchor="ctr" anchorCtr="1"/>
        <a:lstStyle/>
        <a:p>
          <a:pPr>
            <a:defRPr sz="2000" b="0" i="0" u="none" strike="noStrike" kern="1200" spc="0" baseline="0">
              <a:solidFill>
                <a:schemeClr val="tx1">
                  <a:lumMod val="65000"/>
                  <a:lumOff val="35000"/>
                </a:schemeClr>
              </a:solidFill>
              <a:latin typeface="+mn-lt"/>
              <a:ea typeface="+mn-ea"/>
              <a:cs typeface="+mn-cs"/>
            </a:defRPr>
          </a:pPr>
          <a:endParaRPr lang="ko-KR"/>
        </a:p>
      </c:txPr>
    </c:title>
    <c:autoTitleDeleted val="0"/>
    <c:plotArea>
      <c:layout>
        <c:manualLayout>
          <c:layoutTarget val="inner"/>
          <c:xMode val="edge"/>
          <c:yMode val="edge"/>
          <c:x val="3.3675121600994562E-2"/>
          <c:y val="0.12185883608143767"/>
          <c:w val="0.91835030951050267"/>
          <c:h val="0.73089226456230283"/>
        </c:manualLayout>
      </c:layout>
      <c:barChart>
        <c:barDir val="col"/>
        <c:grouping val="clustered"/>
        <c:varyColors val="0"/>
        <c:ser>
          <c:idx val="0"/>
          <c:order val="0"/>
          <c:tx>
            <c:strRef>
              <c:f>'E-Board'!$Q$4:$Q$5</c:f>
              <c:strCache>
                <c:ptCount val="2"/>
                <c:pt idx="0">
                  <c:v>Total(Mon)</c:v>
                </c:pt>
                <c:pt idx="1">
                  <c:v>Count</c:v>
                </c:pt>
              </c:strCache>
            </c:strRef>
          </c:tx>
          <c:spPr>
            <a:solidFill>
              <a:schemeClr val="accent1"/>
            </a:solidFill>
            <a:ln>
              <a:noFill/>
            </a:ln>
            <a:effectLst/>
          </c:spPr>
          <c:invertIfNegative val="0"/>
          <c:dLbls>
            <c:spPr>
              <a:solidFill>
                <a:schemeClr val="accent1">
                  <a:lumMod val="20000"/>
                  <a:lumOff val="80000"/>
                </a:schemeClr>
              </a:solidFill>
              <a:ln>
                <a:noFill/>
              </a:ln>
              <a:effectLst/>
            </c:spPr>
            <c:txPr>
              <a:bodyPr rot="0" spcFirstLastPara="1" vertOverflow="ellipsis" vert="horz" wrap="square" anchor="ctr" anchorCtr="1"/>
              <a:lstStyle/>
              <a:p>
                <a:pPr>
                  <a:defRPr sz="1200" b="0" i="0" u="none" strike="noStrike" kern="1200" baseline="0">
                    <a:solidFill>
                      <a:sysClr val="windowText" lastClr="000000"/>
                    </a:solidFill>
                    <a:latin typeface="+mn-lt"/>
                    <a:ea typeface="+mn-ea"/>
                    <a:cs typeface="+mn-cs"/>
                  </a:defRPr>
                </a:pPr>
                <a:endParaRPr lang="ko-KR"/>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'E-Board'!$B$6:$B$17</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'E-Board'!$Q$6:$Q$17</c:f>
              <c:numCache>
                <c:formatCode>#,##0_ </c:formatCode>
                <c:ptCount val="12"/>
                <c:pt idx="0">
                  <c:v>156</c:v>
                </c:pt>
                <c:pt idx="1">
                  <c:v>174</c:v>
                </c:pt>
                <c:pt idx="2">
                  <c:v>12</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0-0EE7-4562-9369-02FF99487DEB}"/>
            </c:ext>
          </c:extLst>
        </c:ser>
        <c:dLbls>
          <c:showLegendKey val="0"/>
          <c:showVal val="0"/>
          <c:showCatName val="0"/>
          <c:showSerName val="0"/>
          <c:showPercent val="0"/>
          <c:showBubbleSize val="0"/>
        </c:dLbls>
        <c:gapWidth val="219"/>
        <c:overlap val="-27"/>
        <c:axId val="405424112"/>
        <c:axId val="405430384"/>
      </c:barChart>
      <c:lineChart>
        <c:grouping val="standard"/>
        <c:varyColors val="0"/>
        <c:ser>
          <c:idx val="1"/>
          <c:order val="1"/>
          <c:tx>
            <c:strRef>
              <c:f>'E-Board'!$R$4:$R$5</c:f>
              <c:strCache>
                <c:ptCount val="2"/>
                <c:pt idx="0">
                  <c:v>Total(Mon)</c:v>
                </c:pt>
                <c:pt idx="1">
                  <c:v>cost save</c:v>
                </c:pt>
              </c:strCache>
            </c:strRef>
          </c:tx>
          <c:spPr>
            <a:ln w="28575" cap="rnd">
              <a:solidFill>
                <a:schemeClr val="accent2"/>
              </a:solidFill>
              <a:round/>
            </a:ln>
            <a:effectLst/>
          </c:spPr>
          <c:marker>
            <c:symbol val="none"/>
          </c:marker>
          <c:dLbls>
            <c:spPr>
              <a:solidFill>
                <a:schemeClr val="accent2">
                  <a:lumMod val="20000"/>
                  <a:lumOff val="80000"/>
                </a:schemeClr>
              </a:solidFill>
              <a:ln>
                <a:noFill/>
              </a:ln>
              <a:effectLst/>
            </c:spPr>
            <c:txPr>
              <a:bodyPr rot="0" spcFirstLastPara="1" vertOverflow="ellipsis" vert="horz" wrap="square" anchor="ctr" anchorCtr="1"/>
              <a:lstStyle/>
              <a:p>
                <a:pPr>
                  <a:defRPr sz="1200" b="0" i="0" u="none" strike="noStrike" kern="1200" baseline="0">
                    <a:solidFill>
                      <a:srgbClr val="FF0000"/>
                    </a:solidFill>
                    <a:latin typeface="+mn-lt"/>
                    <a:ea typeface="+mn-ea"/>
                    <a:cs typeface="+mn-cs"/>
                  </a:defRPr>
                </a:pPr>
                <a:endParaRPr lang="ko-KR"/>
              </a:p>
            </c:txPr>
            <c:dLblPos val="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'E-Board'!$B$6:$B$17</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'E-Board'!$R$6:$R$17</c:f>
              <c:numCache>
                <c:formatCode>#,##0.0_ </c:formatCode>
                <c:ptCount val="12"/>
                <c:pt idx="0">
                  <c:v>159.19500000000002</c:v>
                </c:pt>
                <c:pt idx="1">
                  <c:v>199.36409090909092</c:v>
                </c:pt>
                <c:pt idx="2">
                  <c:v>18.228181818181817</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1-0EE7-4562-9369-02FF99487DEB}"/>
            </c:ext>
          </c:extLst>
        </c:ser>
        <c:dLbls>
          <c:showLegendKey val="0"/>
          <c:showVal val="0"/>
          <c:showCatName val="0"/>
          <c:showSerName val="0"/>
          <c:showPercent val="0"/>
          <c:showBubbleSize val="0"/>
        </c:dLbls>
        <c:marker val="1"/>
        <c:smooth val="0"/>
        <c:axId val="405424504"/>
        <c:axId val="405426072"/>
      </c:lineChart>
      <c:catAx>
        <c:axId val="40542411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ko-KR"/>
          </a:p>
        </c:txPr>
        <c:crossAx val="405430384"/>
        <c:crosses val="autoZero"/>
        <c:auto val="1"/>
        <c:lblAlgn val="ctr"/>
        <c:lblOffset val="100"/>
        <c:noMultiLvlLbl val="0"/>
      </c:catAx>
      <c:valAx>
        <c:axId val="405430384"/>
        <c:scaling>
          <c:orientation val="minMax"/>
        </c:scaling>
        <c:delete val="0"/>
        <c:axPos val="l"/>
        <c:majorGridlines>
          <c:spPr>
            <a:ln w="9525" cap="flat" cmpd="sng" algn="ctr">
              <a:solidFill>
                <a:schemeClr val="tx1">
                  <a:lumMod val="15000"/>
                  <a:lumOff val="85000"/>
                </a:schemeClr>
              </a:solidFill>
              <a:round/>
            </a:ln>
            <a:effectLst/>
          </c:spPr>
        </c:majorGridlines>
        <c:numFmt formatCode="#,##0_ " sourceLinked="1"/>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ko-KR"/>
          </a:p>
        </c:txPr>
        <c:crossAx val="405424112"/>
        <c:crosses val="autoZero"/>
        <c:crossBetween val="between"/>
      </c:valAx>
      <c:valAx>
        <c:axId val="405426072"/>
        <c:scaling>
          <c:orientation val="minMax"/>
        </c:scaling>
        <c:delete val="0"/>
        <c:axPos val="r"/>
        <c:numFmt formatCode="#,##0.0_ " sourceLinked="1"/>
        <c:majorTickMark val="out"/>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ko-KR"/>
          </a:p>
        </c:txPr>
        <c:crossAx val="405424504"/>
        <c:crosses val="max"/>
        <c:crossBetween val="between"/>
      </c:valAx>
      <c:catAx>
        <c:axId val="405424504"/>
        <c:scaling>
          <c:orientation val="minMax"/>
        </c:scaling>
        <c:delete val="1"/>
        <c:axPos val="b"/>
        <c:numFmt formatCode="General" sourceLinked="1"/>
        <c:majorTickMark val="out"/>
        <c:minorTickMark val="none"/>
        <c:tickLblPos val="nextTo"/>
        <c:crossAx val="405426072"/>
        <c:crosses val="autoZero"/>
        <c:auto val="1"/>
        <c:lblAlgn val="ctr"/>
        <c:lblOffset val="100"/>
        <c:noMultiLvlLbl val="0"/>
      </c:catAx>
      <c:spPr>
        <a:noFill/>
        <a:ln>
          <a:noFill/>
        </a:ln>
        <a:effectLst/>
      </c:spPr>
    </c:plotArea>
    <c:legend>
      <c:legendPos val="b"/>
      <c:overlay val="0"/>
      <c:spPr>
        <a:noFill/>
        <a:ln>
          <a:noFill/>
        </a:ln>
        <a:effectLst/>
      </c:spPr>
      <c:txPr>
        <a:bodyPr rot="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ko-KR"/>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200"/>
      </a:pPr>
      <a:endParaRPr lang="ko-K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2000" b="0" i="0" u="none" strike="noStrike" kern="1200" spc="0" baseline="0">
                <a:solidFill>
                  <a:schemeClr val="tx1">
                    <a:lumMod val="65000"/>
                    <a:lumOff val="35000"/>
                  </a:schemeClr>
                </a:solidFill>
                <a:latin typeface="+mn-lt"/>
                <a:ea typeface="+mn-ea"/>
                <a:cs typeface="+mn-cs"/>
              </a:defRPr>
            </a:pPr>
            <a:r>
              <a:rPr lang="en-US" altLang="ko-KR" sz="2500"/>
              <a:t>Count</a:t>
            </a:r>
          </a:p>
        </c:rich>
      </c:tx>
      <c:overlay val="0"/>
      <c:spPr>
        <a:noFill/>
        <a:ln>
          <a:noFill/>
        </a:ln>
        <a:effectLst/>
      </c:spPr>
      <c:txPr>
        <a:bodyPr rot="0" spcFirstLastPara="1" vertOverflow="ellipsis" vert="horz" wrap="square" anchor="ctr" anchorCtr="1"/>
        <a:lstStyle/>
        <a:p>
          <a:pPr>
            <a:defRPr sz="2000" b="0" i="0" u="none" strike="noStrike" kern="1200" spc="0" baseline="0">
              <a:solidFill>
                <a:schemeClr val="tx1">
                  <a:lumMod val="65000"/>
                  <a:lumOff val="35000"/>
                </a:schemeClr>
              </a:solidFill>
              <a:latin typeface="+mn-lt"/>
              <a:ea typeface="+mn-ea"/>
              <a:cs typeface="+mn-cs"/>
            </a:defRPr>
          </a:pPr>
          <a:endParaRPr lang="ko-KR"/>
        </a:p>
      </c:txPr>
    </c:title>
    <c:autoTitleDeleted val="0"/>
    <c:plotArea>
      <c:layout>
        <c:manualLayout>
          <c:layoutTarget val="inner"/>
          <c:xMode val="edge"/>
          <c:yMode val="edge"/>
          <c:x val="0.18459577574094396"/>
          <c:y val="0.29014771913841347"/>
          <c:w val="0.62895699898185675"/>
          <c:h val="0.66503720092839647"/>
        </c:manualLayout>
      </c:layout>
      <c:pieChart>
        <c:varyColors val="1"/>
        <c:ser>
          <c:idx val="13"/>
          <c:order val="0"/>
          <c:tx>
            <c:strRef>
              <c:f>'E-Board'!$B$20</c:f>
              <c:strCache>
                <c:ptCount val="1"/>
                <c:pt idx="0">
                  <c:v>Ratio(%)</c:v>
                </c:pt>
              </c:strCache>
            </c:strRef>
          </c:tx>
          <c:dPt>
            <c:idx val="0"/>
            <c:bubble3D val="0"/>
            <c:spPr>
              <a:solidFill>
                <a:schemeClr val="accent1"/>
              </a:solidFill>
              <a:ln w="19050">
                <a:solidFill>
                  <a:schemeClr val="lt1"/>
                </a:solidFill>
              </a:ln>
              <a:effectLst/>
            </c:spPr>
            <c:extLst>
              <c:ext xmlns:c16="http://schemas.microsoft.com/office/drawing/2014/chart" uri="{C3380CC4-5D6E-409C-BE32-E72D297353CC}">
                <c16:uniqueId val="{00000001-ABB0-4F23-B022-39AF38C6B11E}"/>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3-ABB0-4F23-B022-39AF38C6B11E}"/>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5-ABB0-4F23-B022-39AF38C6B11E}"/>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07-ABB0-4F23-B022-39AF38C6B11E}"/>
              </c:ext>
            </c:extLst>
          </c:dPt>
          <c:dPt>
            <c:idx val="4"/>
            <c:bubble3D val="0"/>
            <c:spPr>
              <a:solidFill>
                <a:schemeClr val="accent5"/>
              </a:solidFill>
              <a:ln w="19050">
                <a:solidFill>
                  <a:schemeClr val="lt1"/>
                </a:solidFill>
              </a:ln>
              <a:effectLst/>
            </c:spPr>
            <c:extLst>
              <c:ext xmlns:c16="http://schemas.microsoft.com/office/drawing/2014/chart" uri="{C3380CC4-5D6E-409C-BE32-E72D297353CC}">
                <c16:uniqueId val="{00000009-ABB0-4F23-B022-39AF38C6B11E}"/>
              </c:ext>
            </c:extLst>
          </c:dPt>
          <c:dPt>
            <c:idx val="5"/>
            <c:bubble3D val="0"/>
            <c:spPr>
              <a:solidFill>
                <a:schemeClr val="accent6"/>
              </a:solidFill>
              <a:ln w="19050">
                <a:solidFill>
                  <a:schemeClr val="lt1"/>
                </a:solidFill>
              </a:ln>
              <a:effectLst/>
            </c:spPr>
            <c:extLst>
              <c:ext xmlns:c16="http://schemas.microsoft.com/office/drawing/2014/chart" uri="{C3380CC4-5D6E-409C-BE32-E72D297353CC}">
                <c16:uniqueId val="{0000000B-ABB0-4F23-B022-39AF38C6B11E}"/>
              </c:ext>
            </c:extLst>
          </c:dPt>
          <c:dPt>
            <c:idx val="6"/>
            <c:bubble3D val="0"/>
            <c:spPr>
              <a:solidFill>
                <a:schemeClr val="accent1">
                  <a:lumMod val="60000"/>
                </a:schemeClr>
              </a:solidFill>
              <a:ln w="19050">
                <a:solidFill>
                  <a:schemeClr val="lt1"/>
                </a:solidFill>
              </a:ln>
              <a:effectLst/>
            </c:spPr>
            <c:extLst>
              <c:ext xmlns:c16="http://schemas.microsoft.com/office/drawing/2014/chart" uri="{C3380CC4-5D6E-409C-BE32-E72D297353CC}">
                <c16:uniqueId val="{0000000D-ABB0-4F23-B022-39AF38C6B11E}"/>
              </c:ext>
            </c:extLst>
          </c:dPt>
          <c:dPt>
            <c:idx val="7"/>
            <c:bubble3D val="0"/>
            <c:spPr>
              <a:solidFill>
                <a:schemeClr val="accent2">
                  <a:lumMod val="60000"/>
                </a:schemeClr>
              </a:solidFill>
              <a:ln w="19050">
                <a:solidFill>
                  <a:schemeClr val="lt1"/>
                </a:solidFill>
              </a:ln>
              <a:effectLst/>
            </c:spPr>
            <c:extLst>
              <c:ext xmlns:c16="http://schemas.microsoft.com/office/drawing/2014/chart" uri="{C3380CC4-5D6E-409C-BE32-E72D297353CC}">
                <c16:uniqueId val="{0000000F-ABB0-4F23-B022-39AF38C6B11E}"/>
              </c:ext>
            </c:extLst>
          </c:dPt>
          <c:dLbls>
            <c:dLbl>
              <c:idx val="0"/>
              <c:layout>
                <c:manualLayout>
                  <c:x val="-8.4929257710539136E-2"/>
                  <c:y val="-0.24248017000234051"/>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1-ABB0-4F23-B022-39AF38C6B11E}"/>
                </c:ext>
              </c:extLst>
            </c:dLbl>
            <c:dLbl>
              <c:idx val="1"/>
              <c:layout>
                <c:manualLayout>
                  <c:x val="-0.26954602457371013"/>
                  <c:y val="0.10153901216893343"/>
                </c:manualLayout>
              </c:layout>
              <c:numFmt formatCode="General" sourceLinked="0"/>
              <c:spPr>
                <a:solidFill>
                  <a:schemeClr val="accent4"/>
                </a:solidFill>
                <a:ln>
                  <a:noFill/>
                </a:ln>
                <a:effectLst/>
              </c:spPr>
              <c:txPr>
                <a:bodyPr rot="0" spcFirstLastPara="1" vertOverflow="overflow" horzOverflow="overflow" vert="horz" wrap="square" lIns="38100" tIns="19050" rIns="38100" bIns="19050" anchor="t" anchorCtr="0">
                  <a:spAutoFit/>
                </a:bodyPr>
                <a:lstStyle/>
                <a:p>
                  <a:pPr>
                    <a:defRPr sz="1200" b="1" i="0" u="none" strike="noStrike" kern="1200" baseline="0">
                      <a:solidFill>
                        <a:schemeClr val="tx1">
                          <a:lumMod val="75000"/>
                          <a:lumOff val="25000"/>
                        </a:schemeClr>
                      </a:solidFill>
                      <a:latin typeface="+mn-lt"/>
                      <a:ea typeface="+mn-ea"/>
                      <a:cs typeface="+mn-cs"/>
                    </a:defRPr>
                  </a:pPr>
                  <a:endParaRPr lang="ko-KR"/>
                </a:p>
              </c:txPr>
              <c:showLegendKey val="0"/>
              <c:showVal val="0"/>
              <c:showCatName val="1"/>
              <c:showSerName val="0"/>
              <c:showPercent val="1"/>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3-ABB0-4F23-B022-39AF38C6B11E}"/>
                </c:ext>
              </c:extLst>
            </c:dLbl>
            <c:dLbl>
              <c:idx val="2"/>
              <c:layout>
                <c:manualLayout>
                  <c:x val="-0.36609957946965049"/>
                  <c:y val="5.4966269712153747E-3"/>
                </c:manualLayout>
              </c:layout>
              <c:numFmt formatCode="General" sourceLinked="0"/>
              <c:spPr>
                <a:solidFill>
                  <a:schemeClr val="bg1">
                    <a:lumMod val="85000"/>
                  </a:schemeClr>
                </a:solidFill>
                <a:ln>
                  <a:noFill/>
                </a:ln>
                <a:effectLst/>
              </c:spPr>
              <c:txPr>
                <a:bodyPr rot="0" spcFirstLastPara="1" vertOverflow="overflow" horzOverflow="overflow" vert="horz" wrap="square" lIns="38100" tIns="19050" rIns="38100" bIns="19050" anchor="t" anchorCtr="0">
                  <a:spAutoFit/>
                </a:bodyPr>
                <a:lstStyle/>
                <a:p>
                  <a:pPr>
                    <a:defRPr sz="1200" b="1" i="0" u="none" strike="noStrike" kern="1200" baseline="0">
                      <a:solidFill>
                        <a:schemeClr val="tx1">
                          <a:lumMod val="75000"/>
                          <a:lumOff val="25000"/>
                        </a:schemeClr>
                      </a:solidFill>
                      <a:latin typeface="+mn-lt"/>
                      <a:ea typeface="+mn-ea"/>
                      <a:cs typeface="+mn-cs"/>
                    </a:defRPr>
                  </a:pPr>
                  <a:endParaRPr lang="ko-KR"/>
                </a:p>
              </c:txPr>
              <c:showLegendKey val="0"/>
              <c:showVal val="0"/>
              <c:showCatName val="1"/>
              <c:showSerName val="0"/>
              <c:showPercent val="1"/>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5-ABB0-4F23-B022-39AF38C6B11E}"/>
                </c:ext>
              </c:extLst>
            </c:dLbl>
            <c:dLbl>
              <c:idx val="3"/>
              <c:layout>
                <c:manualLayout>
                  <c:x val="-0.37928825971744318"/>
                  <c:y val="-9.0915381445087942E-2"/>
                </c:manualLayout>
              </c:layout>
              <c:numFmt formatCode="General" sourceLinked="0"/>
              <c:spPr>
                <a:solidFill>
                  <a:srgbClr val="FFFF00"/>
                </a:solidFill>
                <a:ln>
                  <a:noFill/>
                </a:ln>
                <a:effectLst/>
              </c:spPr>
              <c:txPr>
                <a:bodyPr rot="0" spcFirstLastPara="1" vertOverflow="overflow" horzOverflow="overflow" vert="horz" wrap="square" lIns="38100" tIns="19050" rIns="38100" bIns="19050" anchor="t" anchorCtr="0">
                  <a:spAutoFit/>
                </a:bodyPr>
                <a:lstStyle/>
                <a:p>
                  <a:pPr>
                    <a:defRPr sz="1200" b="1" i="0" u="none" strike="noStrike" kern="1200" baseline="0">
                      <a:solidFill>
                        <a:schemeClr val="tx1">
                          <a:lumMod val="75000"/>
                          <a:lumOff val="25000"/>
                        </a:schemeClr>
                      </a:solidFill>
                      <a:latin typeface="+mn-lt"/>
                      <a:ea typeface="+mn-ea"/>
                      <a:cs typeface="+mn-cs"/>
                    </a:defRPr>
                  </a:pPr>
                  <a:endParaRPr lang="ko-KR"/>
                </a:p>
              </c:txPr>
              <c:showLegendKey val="0"/>
              <c:showVal val="0"/>
              <c:showCatName val="1"/>
              <c:showSerName val="0"/>
              <c:showPercent val="1"/>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7-ABB0-4F23-B022-39AF38C6B11E}"/>
                </c:ext>
              </c:extLst>
            </c:dLbl>
            <c:dLbl>
              <c:idx val="4"/>
              <c:layout>
                <c:manualLayout>
                  <c:x val="0.40361640919722164"/>
                  <c:y val="-0.10904232012320775"/>
                </c:manualLayout>
              </c:layout>
              <c:numFmt formatCode="General" sourceLinked="0"/>
              <c:spPr>
                <a:solidFill>
                  <a:schemeClr val="accent1">
                    <a:lumMod val="60000"/>
                    <a:lumOff val="40000"/>
                  </a:schemeClr>
                </a:solidFill>
                <a:ln>
                  <a:noFill/>
                </a:ln>
                <a:effectLst/>
              </c:spPr>
              <c:txPr>
                <a:bodyPr rot="0" spcFirstLastPara="1" vertOverflow="overflow" horzOverflow="overflow" vert="horz" wrap="square" lIns="38100" tIns="19050" rIns="38100" bIns="19050" anchor="t" anchorCtr="0">
                  <a:spAutoFit/>
                </a:bodyPr>
                <a:lstStyle/>
                <a:p>
                  <a:pPr>
                    <a:defRPr sz="1200" b="1" i="0" u="none" strike="noStrike" kern="1200" baseline="0">
                      <a:solidFill>
                        <a:schemeClr val="tx1">
                          <a:lumMod val="75000"/>
                          <a:lumOff val="25000"/>
                        </a:schemeClr>
                      </a:solidFill>
                      <a:latin typeface="+mn-lt"/>
                      <a:ea typeface="+mn-ea"/>
                      <a:cs typeface="+mn-cs"/>
                    </a:defRPr>
                  </a:pPr>
                  <a:endParaRPr lang="ko-KR"/>
                </a:p>
              </c:txPr>
              <c:showLegendKey val="0"/>
              <c:showVal val="0"/>
              <c:showCatName val="1"/>
              <c:showSerName val="0"/>
              <c:showPercent val="1"/>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9-ABB0-4F23-B022-39AF38C6B11E}"/>
                </c:ext>
              </c:extLst>
            </c:dLbl>
            <c:dLbl>
              <c:idx val="5"/>
              <c:layout>
                <c:manualLayout>
                  <c:x val="0.39521667498536789"/>
                  <c:y val="0.11198965315286002"/>
                </c:manualLayout>
              </c:layout>
              <c:numFmt formatCode="General" sourceLinked="0"/>
              <c:spPr>
                <a:solidFill>
                  <a:schemeClr val="accent6">
                    <a:lumMod val="40000"/>
                    <a:lumOff val="60000"/>
                  </a:schemeClr>
                </a:solidFill>
                <a:ln>
                  <a:noFill/>
                </a:ln>
                <a:effectLst/>
              </c:spPr>
              <c:txPr>
                <a:bodyPr rot="0" spcFirstLastPara="1" vertOverflow="overflow" horzOverflow="overflow" vert="horz" wrap="square" lIns="38100" tIns="19050" rIns="38100" bIns="19050" anchor="t" anchorCtr="0">
                  <a:spAutoFit/>
                </a:bodyPr>
                <a:lstStyle/>
                <a:p>
                  <a:pPr>
                    <a:defRPr sz="1200" b="1" i="0" u="none" strike="noStrike" kern="1200" baseline="0">
                      <a:solidFill>
                        <a:schemeClr val="tx1">
                          <a:lumMod val="75000"/>
                          <a:lumOff val="25000"/>
                        </a:schemeClr>
                      </a:solidFill>
                      <a:latin typeface="+mn-lt"/>
                      <a:ea typeface="+mn-ea"/>
                      <a:cs typeface="+mn-cs"/>
                    </a:defRPr>
                  </a:pPr>
                  <a:endParaRPr lang="ko-KR"/>
                </a:p>
              </c:txPr>
              <c:showLegendKey val="0"/>
              <c:showVal val="0"/>
              <c:showCatName val="1"/>
              <c:showSerName val="0"/>
              <c:showPercent val="1"/>
              <c:showBubbleSize val="0"/>
              <c:extLst>
                <c:ext xmlns:c15="http://schemas.microsoft.com/office/drawing/2012/chart" uri="{CE6537A1-D6FC-4f65-9D91-7224C49458BB}">
                  <c15:spPr xmlns:c15="http://schemas.microsoft.com/office/drawing/2012/chart">
                    <a:prstGeom prst="rect">
                      <a:avLst/>
                    </a:prstGeom>
                    <a:noFill/>
                    <a:ln>
                      <a:noFill/>
                    </a:ln>
                  </c15:spPr>
                  <c15:layout>
                    <c:manualLayout>
                      <c:w val="0.15930877029080989"/>
                      <c:h val="0.12933884297520659"/>
                    </c:manualLayout>
                  </c15:layout>
                </c:ext>
                <c:ext xmlns:c16="http://schemas.microsoft.com/office/drawing/2014/chart" uri="{C3380CC4-5D6E-409C-BE32-E72D297353CC}">
                  <c16:uniqueId val="{0000000B-ABB0-4F23-B022-39AF38C6B11E}"/>
                </c:ext>
              </c:extLst>
            </c:dLbl>
            <c:dLbl>
              <c:idx val="6"/>
              <c:layout>
                <c:manualLayout>
                  <c:x val="0.40010101426611094"/>
                  <c:y val="-1.2108847964252403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D-ABB0-4F23-B022-39AF38C6B11E}"/>
                </c:ext>
              </c:extLst>
            </c:dLbl>
            <c:dLbl>
              <c:idx val="7"/>
              <c:delete val="1"/>
              <c:extLst>
                <c:ext xmlns:c15="http://schemas.microsoft.com/office/drawing/2012/chart" uri="{CE6537A1-D6FC-4f65-9D91-7224C49458BB}"/>
                <c:ext xmlns:c16="http://schemas.microsoft.com/office/drawing/2014/chart" uri="{C3380CC4-5D6E-409C-BE32-E72D297353CC}">
                  <c16:uniqueId val="{0000000F-ABB0-4F23-B022-39AF38C6B11E}"/>
                </c:ext>
              </c:extLst>
            </c:dLbl>
            <c:numFmt formatCode="General" sourceLinked="0"/>
            <c:spPr>
              <a:noFill/>
              <a:ln>
                <a:noFill/>
              </a:ln>
              <a:effectLst/>
            </c:spPr>
            <c:txPr>
              <a:bodyPr rot="0" spcFirstLastPara="1" vertOverflow="overflow" horzOverflow="overflow" vert="horz" wrap="square" lIns="38100" tIns="19050" rIns="38100" bIns="19050" anchor="t" anchorCtr="0">
                <a:spAutoFit/>
              </a:bodyPr>
              <a:lstStyle/>
              <a:p>
                <a:pPr>
                  <a:defRPr sz="1200" b="1" i="0" u="none" strike="noStrike" kern="1200" baseline="0">
                    <a:solidFill>
                      <a:schemeClr val="tx1">
                        <a:lumMod val="75000"/>
                        <a:lumOff val="25000"/>
                      </a:schemeClr>
                    </a:solidFill>
                    <a:latin typeface="+mn-lt"/>
                    <a:ea typeface="+mn-ea"/>
                    <a:cs typeface="+mn-cs"/>
                  </a:defRPr>
                </a:pPr>
                <a:endParaRPr lang="ko-KR"/>
              </a:p>
            </c:txPr>
            <c:showLegendKey val="0"/>
            <c:showVal val="0"/>
            <c:showCatName val="1"/>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15:spPr xmlns:c15="http://schemas.microsoft.com/office/drawing/2012/chart">
                  <a:prstGeom prst="rect">
                    <a:avLst/>
                  </a:prstGeom>
                  <a:noFill/>
                  <a:ln>
                    <a:noFill/>
                  </a:ln>
                </c15:spPr>
              </c:ext>
            </c:extLst>
          </c:dLbls>
          <c:cat>
            <c:multiLvlStrRef>
              <c:extLst>
                <c:ext xmlns:c15="http://schemas.microsoft.com/office/drawing/2012/chart" uri="{02D57815-91ED-43cb-92C2-25804820EDAC}">
                  <c15:fullRef>
                    <c15:sqref>'E-Board'!$C$4:$R$5</c15:sqref>
                  </c15:fullRef>
                </c:ext>
              </c:extLst>
              <c:f>('E-Board'!$C$4:$C$5,'E-Board'!$E$4:$E$5,'E-Board'!$G$4:$G$5,'E-Board'!$I$4:$I$5,'E-Board'!$K$4:$K$5,'E-Board'!$M$4:$M$5,'E-Board'!$O$4:$R$5)</c:f>
              <c:multiLvlStrCache>
                <c:ptCount val="8"/>
                <c:lvl>
                  <c:pt idx="0">
                    <c:v>Count</c:v>
                  </c:pt>
                  <c:pt idx="1">
                    <c:v>Count</c:v>
                  </c:pt>
                  <c:pt idx="2">
                    <c:v>Count</c:v>
                  </c:pt>
                  <c:pt idx="3">
                    <c:v>Count</c:v>
                  </c:pt>
                  <c:pt idx="4">
                    <c:v>Count</c:v>
                  </c:pt>
                  <c:pt idx="5">
                    <c:v>Count</c:v>
                  </c:pt>
                  <c:pt idx="6">
                    <c:v>Count</c:v>
                  </c:pt>
                  <c:pt idx="7">
                    <c:v>Cost Save</c:v>
                  </c:pt>
                </c:lvl>
                <c:lvl>
                  <c:pt idx="0">
                    <c:v>ATK</c:v>
                  </c:pt>
                  <c:pt idx="1">
                    <c:v>ATP</c:v>
                  </c:pt>
                  <c:pt idx="2">
                    <c:v>ATC</c:v>
                  </c:pt>
                  <c:pt idx="3">
                    <c:v>ATT</c:v>
                  </c:pt>
                  <c:pt idx="4">
                    <c:v>ATM</c:v>
                  </c:pt>
                  <c:pt idx="5">
                    <c:v>ATJ</c:v>
                  </c:pt>
                  <c:pt idx="6">
                    <c:v>ATEP</c:v>
                  </c:pt>
                </c:lvl>
              </c:multiLvlStrCache>
            </c:multiLvlStrRef>
          </c:cat>
          <c:val>
            <c:numRef>
              <c:extLst>
                <c:ext xmlns:c15="http://schemas.microsoft.com/office/drawing/2012/chart" uri="{02D57815-91ED-43cb-92C2-25804820EDAC}">
                  <c15:fullRef>
                    <c15:sqref>'E-Board'!$C$20:$R$20</c15:sqref>
                  </c15:fullRef>
                </c:ext>
              </c:extLst>
              <c:f>('E-Board'!$C$20,'E-Board'!$E$20,'E-Board'!$G$20,'E-Board'!$I$20,'E-Board'!$K$20,'E-Board'!$M$20,'E-Board'!$O$20:$P$20)</c:f>
              <c:numCache>
                <c:formatCode>0.0%</c:formatCode>
                <c:ptCount val="8"/>
                <c:pt idx="0">
                  <c:v>0.95906432748538006</c:v>
                </c:pt>
                <c:pt idx="1">
                  <c:v>3.5087719298245612E-2</c:v>
                </c:pt>
                <c:pt idx="2">
                  <c:v>0</c:v>
                </c:pt>
                <c:pt idx="3">
                  <c:v>0</c:v>
                </c:pt>
                <c:pt idx="4">
                  <c:v>5.8479532163742687E-3</c:v>
                </c:pt>
                <c:pt idx="5">
                  <c:v>0</c:v>
                </c:pt>
                <c:pt idx="6">
                  <c:v>0</c:v>
                </c:pt>
                <c:pt idx="7">
                  <c:v>0</c:v>
                </c:pt>
              </c:numCache>
            </c:numRef>
          </c:val>
          <c:extLst>
            <c:ext xmlns:c15="http://schemas.microsoft.com/office/drawing/2012/chart" uri="{02D57815-91ED-43cb-92C2-25804820EDAC}">
              <c15:categoryFilterExceptions/>
            </c:ext>
            <c:ext xmlns:c16="http://schemas.microsoft.com/office/drawing/2014/chart" uri="{C3380CC4-5D6E-409C-BE32-E72D297353CC}">
              <c16:uniqueId val="{00000014-ABB0-4F23-B022-39AF38C6B11E}"/>
            </c:ext>
          </c:extLst>
        </c:ser>
        <c:dLbls>
          <c:showLegendKey val="0"/>
          <c:showVal val="0"/>
          <c:showCatName val="0"/>
          <c:showSerName val="0"/>
          <c:showPercent val="0"/>
          <c:showBubbleSize val="0"/>
          <c:showLeaderLines val="1"/>
        </c:dLbls>
        <c:firstSliceAng val="0"/>
      </c:pieChart>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2000" b="0" i="0" u="none" strike="noStrike" kern="1200" spc="0" baseline="0">
                <a:solidFill>
                  <a:schemeClr val="tx1">
                    <a:lumMod val="65000"/>
                    <a:lumOff val="35000"/>
                  </a:schemeClr>
                </a:solidFill>
                <a:latin typeface="+mn-lt"/>
                <a:ea typeface="+mn-ea"/>
                <a:cs typeface="+mn-cs"/>
              </a:defRPr>
            </a:pPr>
            <a:r>
              <a:rPr lang="en-US" altLang="ko-KR" sz="2500"/>
              <a:t>Cost</a:t>
            </a:r>
            <a:r>
              <a:rPr lang="en-US" altLang="ko-KR" sz="2500" baseline="0"/>
              <a:t> Save</a:t>
            </a:r>
          </a:p>
        </c:rich>
      </c:tx>
      <c:overlay val="0"/>
      <c:spPr>
        <a:noFill/>
        <a:ln>
          <a:noFill/>
        </a:ln>
        <a:effectLst/>
      </c:spPr>
      <c:txPr>
        <a:bodyPr rot="0" spcFirstLastPara="1" vertOverflow="ellipsis" vert="horz" wrap="square" anchor="ctr" anchorCtr="1"/>
        <a:lstStyle/>
        <a:p>
          <a:pPr>
            <a:defRPr sz="2000" b="0" i="0" u="none" strike="noStrike" kern="1200" spc="0" baseline="0">
              <a:solidFill>
                <a:schemeClr val="tx1">
                  <a:lumMod val="65000"/>
                  <a:lumOff val="35000"/>
                </a:schemeClr>
              </a:solidFill>
              <a:latin typeface="+mn-lt"/>
              <a:ea typeface="+mn-ea"/>
              <a:cs typeface="+mn-cs"/>
            </a:defRPr>
          </a:pPr>
          <a:endParaRPr lang="ko-KR"/>
        </a:p>
      </c:txPr>
    </c:title>
    <c:autoTitleDeleted val="0"/>
    <c:plotArea>
      <c:layout>
        <c:manualLayout>
          <c:layoutTarget val="inner"/>
          <c:xMode val="edge"/>
          <c:yMode val="edge"/>
          <c:x val="0.26562089783947052"/>
          <c:y val="0.30916075573197971"/>
          <c:w val="0.52086212667048826"/>
          <c:h val="0.6545593371076549"/>
        </c:manualLayout>
      </c:layout>
      <c:pieChart>
        <c:varyColors val="1"/>
        <c:ser>
          <c:idx val="13"/>
          <c:order val="0"/>
          <c:tx>
            <c:strRef>
              <c:f>'E-Board'!$B$20</c:f>
              <c:strCache>
                <c:ptCount val="1"/>
                <c:pt idx="0">
                  <c:v>Ratio(%)</c:v>
                </c:pt>
              </c:strCache>
            </c:strRef>
          </c:tx>
          <c:dPt>
            <c:idx val="0"/>
            <c:bubble3D val="0"/>
            <c:spPr>
              <a:solidFill>
                <a:schemeClr val="accent1"/>
              </a:solidFill>
              <a:ln w="19050">
                <a:solidFill>
                  <a:schemeClr val="lt1"/>
                </a:solidFill>
              </a:ln>
              <a:effectLst/>
            </c:spPr>
            <c:extLst>
              <c:ext xmlns:c16="http://schemas.microsoft.com/office/drawing/2014/chart" uri="{C3380CC4-5D6E-409C-BE32-E72D297353CC}">
                <c16:uniqueId val="{00000001-9C08-42B1-8929-B9B9D50BB8A2}"/>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3-9C08-42B1-8929-B9B9D50BB8A2}"/>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5-9C08-42B1-8929-B9B9D50BB8A2}"/>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07-9C08-42B1-8929-B9B9D50BB8A2}"/>
              </c:ext>
            </c:extLst>
          </c:dPt>
          <c:dPt>
            <c:idx val="4"/>
            <c:bubble3D val="0"/>
            <c:spPr>
              <a:solidFill>
                <a:schemeClr val="accent5"/>
              </a:solidFill>
              <a:ln w="19050">
                <a:solidFill>
                  <a:schemeClr val="lt1"/>
                </a:solidFill>
              </a:ln>
              <a:effectLst/>
            </c:spPr>
            <c:extLst>
              <c:ext xmlns:c16="http://schemas.microsoft.com/office/drawing/2014/chart" uri="{C3380CC4-5D6E-409C-BE32-E72D297353CC}">
                <c16:uniqueId val="{00000009-9C08-42B1-8929-B9B9D50BB8A2}"/>
              </c:ext>
            </c:extLst>
          </c:dPt>
          <c:dPt>
            <c:idx val="5"/>
            <c:bubble3D val="0"/>
            <c:spPr>
              <a:solidFill>
                <a:schemeClr val="accent6"/>
              </a:solidFill>
              <a:ln w="19050">
                <a:solidFill>
                  <a:schemeClr val="lt1"/>
                </a:solidFill>
              </a:ln>
              <a:effectLst/>
            </c:spPr>
            <c:extLst>
              <c:ext xmlns:c16="http://schemas.microsoft.com/office/drawing/2014/chart" uri="{C3380CC4-5D6E-409C-BE32-E72D297353CC}">
                <c16:uniqueId val="{0000000B-9C08-42B1-8929-B9B9D50BB8A2}"/>
              </c:ext>
            </c:extLst>
          </c:dPt>
          <c:dPt>
            <c:idx val="6"/>
            <c:bubble3D val="0"/>
            <c:spPr>
              <a:solidFill>
                <a:schemeClr val="accent1">
                  <a:lumMod val="60000"/>
                </a:schemeClr>
              </a:solidFill>
              <a:ln w="19050">
                <a:solidFill>
                  <a:schemeClr val="lt1"/>
                </a:solidFill>
              </a:ln>
              <a:effectLst/>
            </c:spPr>
            <c:extLst>
              <c:ext xmlns:c16="http://schemas.microsoft.com/office/drawing/2014/chart" uri="{C3380CC4-5D6E-409C-BE32-E72D297353CC}">
                <c16:uniqueId val="{0000000D-9C08-42B1-8929-B9B9D50BB8A2}"/>
              </c:ext>
            </c:extLst>
          </c:dPt>
          <c:dPt>
            <c:idx val="7"/>
            <c:bubble3D val="0"/>
            <c:spPr>
              <a:solidFill>
                <a:schemeClr val="accent2">
                  <a:lumMod val="60000"/>
                </a:schemeClr>
              </a:solidFill>
              <a:ln w="19050">
                <a:solidFill>
                  <a:schemeClr val="lt1"/>
                </a:solidFill>
              </a:ln>
              <a:effectLst/>
            </c:spPr>
            <c:extLst>
              <c:ext xmlns:c16="http://schemas.microsoft.com/office/drawing/2014/chart" uri="{C3380CC4-5D6E-409C-BE32-E72D297353CC}">
                <c16:uniqueId val="{0000000F-9C08-42B1-8929-B9B9D50BB8A2}"/>
              </c:ext>
            </c:extLst>
          </c:dPt>
          <c:dLbls>
            <c:dLbl>
              <c:idx val="0"/>
              <c:layout>
                <c:manualLayout>
                  <c:x val="-0.15855186406416774"/>
                  <c:y val="-0.20662653738530617"/>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1-9C08-42B1-8929-B9B9D50BB8A2}"/>
                </c:ext>
              </c:extLst>
            </c:dLbl>
            <c:dLbl>
              <c:idx val="1"/>
              <c:layout>
                <c:manualLayout>
                  <c:x val="-0.18316128750334976"/>
                  <c:y val="0.22001865469295676"/>
                </c:manualLayout>
              </c:layout>
              <c:numFmt formatCode="General" sourceLinked="0"/>
              <c:spPr>
                <a:solidFill>
                  <a:srgbClr val="FFC000"/>
                </a:solidFill>
                <a:ln>
                  <a:noFill/>
                </a:ln>
                <a:effectLst/>
              </c:spPr>
              <c:txPr>
                <a:bodyPr rot="0" spcFirstLastPara="1" vertOverflow="overflow" horzOverflow="overflow" vert="horz" wrap="square" lIns="38100" tIns="19050" rIns="38100" bIns="19050" anchor="t" anchorCtr="0">
                  <a:spAutoFit/>
                </a:bodyPr>
                <a:lstStyle/>
                <a:p>
                  <a:pPr>
                    <a:defRPr sz="1200" b="1" i="0" u="none" strike="noStrike" kern="1200" baseline="0">
                      <a:solidFill>
                        <a:schemeClr val="tx1">
                          <a:lumMod val="75000"/>
                          <a:lumOff val="25000"/>
                        </a:schemeClr>
                      </a:solidFill>
                      <a:latin typeface="+mn-lt"/>
                      <a:ea typeface="+mn-ea"/>
                      <a:cs typeface="+mn-cs"/>
                    </a:defRPr>
                  </a:pPr>
                  <a:endParaRPr lang="ko-KR"/>
                </a:p>
              </c:txPr>
              <c:showLegendKey val="0"/>
              <c:showVal val="0"/>
              <c:showCatName val="1"/>
              <c:showSerName val="0"/>
              <c:showPercent val="1"/>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3-9C08-42B1-8929-B9B9D50BB8A2}"/>
                </c:ext>
              </c:extLst>
            </c:dLbl>
            <c:dLbl>
              <c:idx val="2"/>
              <c:layout>
                <c:manualLayout>
                  <c:x val="-0.22629221273909561"/>
                  <c:y val="0.13935988373354158"/>
                </c:manualLayout>
              </c:layout>
              <c:numFmt formatCode="General" sourceLinked="0"/>
              <c:spPr>
                <a:solidFill>
                  <a:schemeClr val="bg2">
                    <a:lumMod val="90000"/>
                  </a:schemeClr>
                </a:solidFill>
                <a:ln>
                  <a:noFill/>
                </a:ln>
                <a:effectLst/>
              </c:spPr>
              <c:txPr>
                <a:bodyPr rot="0" spcFirstLastPara="1" vertOverflow="overflow" horzOverflow="overflow" vert="horz" wrap="square" lIns="38100" tIns="19050" rIns="38100" bIns="19050" anchor="t" anchorCtr="0">
                  <a:spAutoFit/>
                </a:bodyPr>
                <a:lstStyle/>
                <a:p>
                  <a:pPr>
                    <a:defRPr sz="1200" b="1" i="0" u="none" strike="noStrike" kern="1200" baseline="0">
                      <a:solidFill>
                        <a:schemeClr val="tx1">
                          <a:lumMod val="75000"/>
                          <a:lumOff val="25000"/>
                        </a:schemeClr>
                      </a:solidFill>
                      <a:latin typeface="+mn-lt"/>
                      <a:ea typeface="+mn-ea"/>
                      <a:cs typeface="+mn-cs"/>
                    </a:defRPr>
                  </a:pPr>
                  <a:endParaRPr lang="ko-KR"/>
                </a:p>
              </c:txPr>
              <c:showLegendKey val="0"/>
              <c:showVal val="0"/>
              <c:showCatName val="1"/>
              <c:showSerName val="0"/>
              <c:showPercent val="1"/>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5-9C08-42B1-8929-B9B9D50BB8A2}"/>
                </c:ext>
              </c:extLst>
            </c:dLbl>
            <c:dLbl>
              <c:idx val="3"/>
              <c:layout>
                <c:manualLayout>
                  <c:x val="-0.29424193573012908"/>
                  <c:y val="3.3743085833279104E-2"/>
                </c:manualLayout>
              </c:layout>
              <c:numFmt formatCode="General" sourceLinked="0"/>
              <c:spPr>
                <a:solidFill>
                  <a:srgbClr val="FFFF00"/>
                </a:solidFill>
                <a:ln>
                  <a:noFill/>
                </a:ln>
                <a:effectLst/>
              </c:spPr>
              <c:txPr>
                <a:bodyPr rot="0" spcFirstLastPara="1" vertOverflow="overflow" horzOverflow="overflow" vert="horz" wrap="square" lIns="38100" tIns="19050" rIns="38100" bIns="19050" anchor="t" anchorCtr="0">
                  <a:spAutoFit/>
                </a:bodyPr>
                <a:lstStyle/>
                <a:p>
                  <a:pPr>
                    <a:defRPr sz="1200" b="1" i="0" u="none" strike="noStrike" kern="1200" baseline="0">
                      <a:solidFill>
                        <a:schemeClr val="tx1">
                          <a:lumMod val="75000"/>
                          <a:lumOff val="25000"/>
                        </a:schemeClr>
                      </a:solidFill>
                      <a:latin typeface="+mn-lt"/>
                      <a:ea typeface="+mn-ea"/>
                      <a:cs typeface="+mn-cs"/>
                    </a:defRPr>
                  </a:pPr>
                  <a:endParaRPr lang="ko-KR"/>
                </a:p>
              </c:txPr>
              <c:showLegendKey val="0"/>
              <c:showVal val="0"/>
              <c:showCatName val="1"/>
              <c:showSerName val="0"/>
              <c:showPercent val="1"/>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7-9C08-42B1-8929-B9B9D50BB8A2}"/>
                </c:ext>
              </c:extLst>
            </c:dLbl>
            <c:dLbl>
              <c:idx val="4"/>
              <c:layout>
                <c:manualLayout>
                  <c:x val="0.37576545614255846"/>
                  <c:y val="-5.8390490444892737E-2"/>
                </c:manualLayout>
              </c:layout>
              <c:numFmt formatCode="General" sourceLinked="0"/>
              <c:spPr>
                <a:solidFill>
                  <a:schemeClr val="accent1">
                    <a:lumMod val="60000"/>
                    <a:lumOff val="40000"/>
                  </a:schemeClr>
                </a:solidFill>
                <a:ln>
                  <a:noFill/>
                </a:ln>
                <a:effectLst/>
              </c:spPr>
              <c:txPr>
                <a:bodyPr rot="0" spcFirstLastPara="1" vertOverflow="overflow" horzOverflow="overflow" vert="horz" wrap="square" lIns="38100" tIns="19050" rIns="38100" bIns="19050" anchor="t" anchorCtr="0">
                  <a:spAutoFit/>
                </a:bodyPr>
                <a:lstStyle/>
                <a:p>
                  <a:pPr>
                    <a:defRPr sz="1200" b="1" i="0" u="none" strike="noStrike" kern="1200" baseline="0">
                      <a:solidFill>
                        <a:schemeClr val="tx1">
                          <a:lumMod val="75000"/>
                          <a:lumOff val="25000"/>
                        </a:schemeClr>
                      </a:solidFill>
                      <a:latin typeface="+mn-lt"/>
                      <a:ea typeface="+mn-ea"/>
                      <a:cs typeface="+mn-cs"/>
                    </a:defRPr>
                  </a:pPr>
                  <a:endParaRPr lang="ko-KR"/>
                </a:p>
              </c:txPr>
              <c:showLegendKey val="0"/>
              <c:showVal val="0"/>
              <c:showCatName val="1"/>
              <c:showSerName val="0"/>
              <c:showPercent val="1"/>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9-9C08-42B1-8929-B9B9D50BB8A2}"/>
                </c:ext>
              </c:extLst>
            </c:dLbl>
            <c:dLbl>
              <c:idx val="5"/>
              <c:layout>
                <c:manualLayout>
                  <c:x val="0.36693564325588196"/>
                  <c:y val="0.16549098718032146"/>
                </c:manualLayout>
              </c:layout>
              <c:numFmt formatCode="General" sourceLinked="0"/>
              <c:spPr>
                <a:solidFill>
                  <a:schemeClr val="accent6">
                    <a:lumMod val="60000"/>
                    <a:lumOff val="40000"/>
                  </a:schemeClr>
                </a:solidFill>
                <a:ln>
                  <a:noFill/>
                </a:ln>
                <a:effectLst/>
              </c:spPr>
              <c:txPr>
                <a:bodyPr rot="0" spcFirstLastPara="1" vertOverflow="overflow" horzOverflow="overflow" vert="horz" wrap="square" lIns="38100" tIns="19050" rIns="38100" bIns="19050" anchor="t" anchorCtr="0">
                  <a:spAutoFit/>
                </a:bodyPr>
                <a:lstStyle/>
                <a:p>
                  <a:pPr>
                    <a:defRPr sz="1200" b="1" i="0" u="none" strike="noStrike" kern="1200" baseline="0">
                      <a:solidFill>
                        <a:schemeClr val="tx1">
                          <a:lumMod val="75000"/>
                          <a:lumOff val="25000"/>
                        </a:schemeClr>
                      </a:solidFill>
                      <a:latin typeface="+mn-lt"/>
                      <a:ea typeface="+mn-ea"/>
                      <a:cs typeface="+mn-cs"/>
                    </a:defRPr>
                  </a:pPr>
                  <a:endParaRPr lang="ko-KR"/>
                </a:p>
              </c:txPr>
              <c:showLegendKey val="0"/>
              <c:showVal val="0"/>
              <c:showCatName val="1"/>
              <c:showSerName val="0"/>
              <c:showPercent val="1"/>
              <c:showBubbleSize val="0"/>
              <c:extLst>
                <c:ext xmlns:c15="http://schemas.microsoft.com/office/drawing/2012/char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0B-9C08-42B1-8929-B9B9D50BB8A2}"/>
                </c:ext>
              </c:extLst>
            </c:dLbl>
            <c:dLbl>
              <c:idx val="6"/>
              <c:delete val="1"/>
              <c:extLst>
                <c:ext xmlns:c15="http://schemas.microsoft.com/office/drawing/2012/chart" uri="{CE6537A1-D6FC-4f65-9D91-7224C49458BB}"/>
                <c:ext xmlns:c16="http://schemas.microsoft.com/office/drawing/2014/chart" uri="{C3380CC4-5D6E-409C-BE32-E72D297353CC}">
                  <c16:uniqueId val="{0000000D-9C08-42B1-8929-B9B9D50BB8A2}"/>
                </c:ext>
              </c:extLst>
            </c:dLbl>
            <c:dLbl>
              <c:idx val="7"/>
              <c:layout>
                <c:manualLayout>
                  <c:x val="0.36740583014481376"/>
                  <c:y val="2.355502049847075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F-9C08-42B1-8929-B9B9D50BB8A2}"/>
                </c:ext>
              </c:extLst>
            </c:dLbl>
            <c:numFmt formatCode="General" sourceLinked="0"/>
            <c:spPr>
              <a:noFill/>
              <a:ln>
                <a:noFill/>
              </a:ln>
              <a:effectLst/>
            </c:spPr>
            <c:txPr>
              <a:bodyPr rot="0" spcFirstLastPara="1" vertOverflow="overflow" horzOverflow="overflow" vert="horz" wrap="square" lIns="38100" tIns="19050" rIns="38100" bIns="19050" anchor="t" anchorCtr="0">
                <a:spAutoFit/>
              </a:bodyPr>
              <a:lstStyle/>
              <a:p>
                <a:pPr>
                  <a:defRPr sz="1200" b="1" i="0" u="none" strike="noStrike" kern="1200" baseline="0">
                    <a:solidFill>
                      <a:schemeClr val="tx1">
                        <a:lumMod val="75000"/>
                        <a:lumOff val="25000"/>
                      </a:schemeClr>
                    </a:solidFill>
                    <a:latin typeface="+mn-lt"/>
                    <a:ea typeface="+mn-ea"/>
                    <a:cs typeface="+mn-cs"/>
                  </a:defRPr>
                </a:pPr>
                <a:endParaRPr lang="ko-KR"/>
              </a:p>
            </c:txPr>
            <c:showLegendKey val="0"/>
            <c:showVal val="0"/>
            <c:showCatName val="1"/>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15:spPr xmlns:c15="http://schemas.microsoft.com/office/drawing/2012/chart">
                  <a:prstGeom prst="rect">
                    <a:avLst/>
                  </a:prstGeom>
                  <a:noFill/>
                  <a:ln>
                    <a:noFill/>
                  </a:ln>
                </c15:spPr>
              </c:ext>
            </c:extLst>
          </c:dLbls>
          <c:cat>
            <c:multiLvlStrRef>
              <c:extLst>
                <c:ext xmlns:c15="http://schemas.microsoft.com/office/drawing/2012/chart" uri="{02D57815-91ED-43cb-92C2-25804820EDAC}">
                  <c15:fullRef>
                    <c15:sqref>'E-Board'!$C$4:$R$5</c15:sqref>
                  </c15:fullRef>
                </c:ext>
              </c:extLst>
              <c:f>('E-Board'!$D$4:$D$5,'E-Board'!$F$4:$F$5,'E-Board'!$H$4:$H$5,'E-Board'!$J$4:$J$5,'E-Board'!$L$4:$L$5,'E-Board'!$N$4:$R$5)</c:f>
              <c:multiLvlStrCache>
                <c:ptCount val="8"/>
                <c:lvl>
                  <c:pt idx="0">
                    <c:v>Cost Save</c:v>
                  </c:pt>
                  <c:pt idx="1">
                    <c:v>Cost Save</c:v>
                  </c:pt>
                  <c:pt idx="2">
                    <c:v>Cost Save</c:v>
                  </c:pt>
                  <c:pt idx="3">
                    <c:v>Cost Save</c:v>
                  </c:pt>
                  <c:pt idx="4">
                    <c:v>Cost Save</c:v>
                  </c:pt>
                  <c:pt idx="5">
                    <c:v>Cost Save</c:v>
                  </c:pt>
                  <c:pt idx="6">
                    <c:v>Count</c:v>
                  </c:pt>
                  <c:pt idx="7">
                    <c:v>Cost Save</c:v>
                  </c:pt>
                </c:lvl>
                <c:lvl>
                  <c:pt idx="6">
                    <c:v>ATEP</c:v>
                  </c:pt>
                </c:lvl>
              </c:multiLvlStrCache>
            </c:multiLvlStrRef>
          </c:cat>
          <c:val>
            <c:numRef>
              <c:extLst>
                <c:ext xmlns:c15="http://schemas.microsoft.com/office/drawing/2012/chart" uri="{02D57815-91ED-43cb-92C2-25804820EDAC}">
                  <c15:fullRef>
                    <c15:sqref>'E-Board'!$C$20:$R$20</c15:sqref>
                  </c15:fullRef>
                </c:ext>
              </c:extLst>
              <c:f>('E-Board'!$D$20,'E-Board'!$F$20,'E-Board'!$H$20,'E-Board'!$J$20,'E-Board'!$L$20,'E-Board'!$N$20:$P$20)</c:f>
              <c:numCache>
                <c:formatCode>0.0%</c:formatCode>
                <c:ptCount val="8"/>
                <c:pt idx="0">
                  <c:v>0.93504895455839554</c:v>
                </c:pt>
                <c:pt idx="1">
                  <c:v>5.9715392818711292E-2</c:v>
                </c:pt>
                <c:pt idx="2">
                  <c:v>0</c:v>
                </c:pt>
                <c:pt idx="3">
                  <c:v>0</c:v>
                </c:pt>
                <c:pt idx="4">
                  <c:v>5.2356526228930708E-3</c:v>
                </c:pt>
                <c:pt idx="5">
                  <c:v>0</c:v>
                </c:pt>
                <c:pt idx="6">
                  <c:v>0</c:v>
                </c:pt>
                <c:pt idx="7">
                  <c:v>0</c:v>
                </c:pt>
              </c:numCache>
            </c:numRef>
          </c:val>
          <c:extLst>
            <c:ext xmlns:c15="http://schemas.microsoft.com/office/drawing/2012/chart" uri="{02D57815-91ED-43cb-92C2-25804820EDAC}">
              <c15:categoryFilterExceptions>
                <c15:categoryFilterException>
                  <c15:sqref>'E-Board'!$C$20</c15:sqref>
                  <c15:spPr xmlns:c15="http://schemas.microsoft.com/office/drawing/2012/chart">
                    <a:solidFill>
                      <a:schemeClr val="accent1"/>
                    </a:solidFill>
                    <a:ln w="19050">
                      <a:solidFill>
                        <a:schemeClr val="lt1"/>
                      </a:solidFill>
                    </a:ln>
                    <a:effectLst/>
                  </c15:spPr>
                  <c15:bubble3D val="0"/>
                  <c15:dLbl>
                    <c:idx val="-1"/>
                    <c:layout>
                      <c:manualLayout>
                        <c:x val="-8.4929257710539136E-2"/>
                        <c:y val="-0.24248017000234051"/>
                      </c:manualLayout>
                    </c:layout>
                    <c:showLegendKey val="0"/>
                    <c:showVal val="0"/>
                    <c:showCatName val="1"/>
                    <c:showSerName val="0"/>
                    <c:showPercent val="1"/>
                    <c:showBubbleSize val="0"/>
                    <c:extLst xmlns:c16="http://schemas.microsoft.com/office/drawing/2014/chart">
                      <c:ext uri="{CE6537A1-D6FC-4f65-9D91-7224C49458BB}"/>
                      <c:ext xmlns:c16="http://schemas.microsoft.com/office/drawing/2014/chart" uri="{C3380CC4-5D6E-409C-BE32-E72D297353CC}">
                        <c16:uniqueId val="{00000011-1A21-40DC-9B64-192AC2CD6C91}"/>
                      </c:ext>
                    </c:extLst>
                  </c15:dLbl>
                </c15:categoryFilterException>
                <c15:categoryFilterException>
                  <c15:sqref>'E-Board'!$E$20</c15:sqref>
                  <c15:spPr xmlns:c15="http://schemas.microsoft.com/office/drawing/2012/chart">
                    <a:solidFill>
                      <a:schemeClr val="accent3"/>
                    </a:solidFill>
                    <a:ln w="19050">
                      <a:solidFill>
                        <a:schemeClr val="lt1"/>
                      </a:solidFill>
                    </a:ln>
                    <a:effectLst/>
                  </c15:spPr>
                  <c15:bubble3D val="0"/>
                  <c15:dLbl>
                    <c:idx val="0"/>
                    <c:layout>
                      <c:manualLayout>
                        <c:x val="-0.26434066169455162"/>
                        <c:y val="0.12908727879744583"/>
                      </c:manualLayout>
                    </c:layout>
                    <c:numFmt formatCode="General" sourceLinked="0"/>
                    <c:spPr>
                      <a:solidFill>
                        <a:schemeClr val="accent4"/>
                      </a:solidFill>
                      <a:ln>
                        <a:noFill/>
                      </a:ln>
                      <a:effectLst/>
                    </c:spPr>
                    <c:txPr>
                      <a:bodyPr rot="0" spcFirstLastPara="1" vertOverflow="overflow" horzOverflow="overflow" vert="horz" wrap="square" lIns="38100" tIns="19050" rIns="38100" bIns="19050" anchor="t" anchorCtr="0">
                        <a:spAutoFit/>
                      </a:bodyPr>
                      <a:lstStyle/>
                      <a:p>
                        <a:pPr>
                          <a:defRPr sz="1200" b="1" i="0" u="none" strike="noStrike" kern="1200" baseline="0">
                            <a:solidFill>
                              <a:schemeClr val="tx1">
                                <a:lumMod val="75000"/>
                                <a:lumOff val="25000"/>
                              </a:schemeClr>
                            </a:solidFill>
                            <a:latin typeface="+mn-lt"/>
                            <a:ea typeface="+mn-ea"/>
                            <a:cs typeface="+mn-cs"/>
                          </a:defRPr>
                        </a:pPr>
                        <a:endParaRPr lang="ko-KR"/>
                      </a:p>
                    </c:txPr>
                    <c:showLegendKey val="0"/>
                    <c:showVal val="0"/>
                    <c:showCatName val="1"/>
                    <c:showSerName val="0"/>
                    <c:showPercent val="1"/>
                    <c:showBubbleSize val="0"/>
                    <c:extLst xmlns:c16="http://schemas.microsoft.com/office/drawing/2014/chart">
                      <c:ex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13-1A21-40DC-9B64-192AC2CD6C91}"/>
                      </c:ext>
                    </c:extLst>
                  </c15:dLbl>
                </c15:categoryFilterException>
                <c15:categoryFilterException>
                  <c15:sqref>'E-Board'!$G$20</c15:sqref>
                  <c15:spPr xmlns:c15="http://schemas.microsoft.com/office/drawing/2012/chart">
                    <a:solidFill>
                      <a:schemeClr val="accent5"/>
                    </a:solidFill>
                    <a:ln w="19050">
                      <a:solidFill>
                        <a:schemeClr val="lt1"/>
                      </a:solidFill>
                    </a:ln>
                    <a:effectLst/>
                  </c15:spPr>
                  <c15:bubble3D val="0"/>
                  <c15:dLbl>
                    <c:idx val="1"/>
                    <c:layout>
                      <c:manualLayout>
                        <c:x val="-0.28533329167822108"/>
                        <c:y val="4.4064198360809555E-2"/>
                      </c:manualLayout>
                    </c:layout>
                    <c:numFmt formatCode="General" sourceLinked="0"/>
                    <c:spPr>
                      <a:solidFill>
                        <a:schemeClr val="bg1">
                          <a:lumMod val="85000"/>
                        </a:schemeClr>
                      </a:solidFill>
                      <a:ln>
                        <a:noFill/>
                      </a:ln>
                      <a:effectLst/>
                    </c:spPr>
                    <c:txPr>
                      <a:bodyPr rot="0" spcFirstLastPara="1" vertOverflow="overflow" horzOverflow="overflow" vert="horz" wrap="square" lIns="38100" tIns="19050" rIns="38100" bIns="19050" anchor="t" anchorCtr="0">
                        <a:spAutoFit/>
                      </a:bodyPr>
                      <a:lstStyle/>
                      <a:p>
                        <a:pPr>
                          <a:defRPr sz="1200" b="1" i="0" u="none" strike="noStrike" kern="1200" baseline="0">
                            <a:solidFill>
                              <a:schemeClr val="tx1">
                                <a:lumMod val="75000"/>
                                <a:lumOff val="25000"/>
                              </a:schemeClr>
                            </a:solidFill>
                            <a:latin typeface="+mn-lt"/>
                            <a:ea typeface="+mn-ea"/>
                            <a:cs typeface="+mn-cs"/>
                          </a:defRPr>
                        </a:pPr>
                        <a:endParaRPr lang="ko-KR"/>
                      </a:p>
                    </c:txPr>
                    <c:showLegendKey val="0"/>
                    <c:showVal val="0"/>
                    <c:showCatName val="1"/>
                    <c:showSerName val="0"/>
                    <c:showPercent val="1"/>
                    <c:showBubbleSize val="0"/>
                    <c:extLst xmlns:c16="http://schemas.microsoft.com/office/drawing/2014/chart">
                      <c:ex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15-1A21-40DC-9B64-192AC2CD6C91}"/>
                      </c:ext>
                    </c:extLst>
                  </c15:dLbl>
                </c15:categoryFilterException>
                <c15:categoryFilterException>
                  <c15:sqref>'E-Board'!$I$20</c15:sqref>
                  <c15:spPr xmlns:c15="http://schemas.microsoft.com/office/drawing/2012/chart">
                    <a:solidFill>
                      <a:schemeClr val="accent1">
                        <a:lumMod val="60000"/>
                      </a:schemeClr>
                    </a:solidFill>
                    <a:ln w="19050">
                      <a:solidFill>
                        <a:schemeClr val="lt1"/>
                      </a:solidFill>
                    </a:ln>
                    <a:effectLst/>
                  </c15:spPr>
                  <c15:bubble3D val="0"/>
                  <c15:dLbl>
                    <c:idx val="2"/>
                    <c:layout>
                      <c:manualLayout>
                        <c:x val="-0.23078251963834909"/>
                        <c:y val="-3.8573766147799345E-2"/>
                      </c:manualLayout>
                    </c:layout>
                    <c:numFmt formatCode="General" sourceLinked="0"/>
                    <c:spPr>
                      <a:solidFill>
                        <a:srgbClr val="FFFF00"/>
                      </a:solidFill>
                      <a:ln>
                        <a:noFill/>
                      </a:ln>
                      <a:effectLst/>
                    </c:spPr>
                    <c:txPr>
                      <a:bodyPr rot="0" spcFirstLastPara="1" vertOverflow="overflow" horzOverflow="overflow" vert="horz" wrap="square" lIns="38100" tIns="19050" rIns="38100" bIns="19050" anchor="t" anchorCtr="0">
                        <a:spAutoFit/>
                      </a:bodyPr>
                      <a:lstStyle/>
                      <a:p>
                        <a:pPr>
                          <a:defRPr sz="1200" b="1" i="0" u="none" strike="noStrike" kern="1200" baseline="0">
                            <a:solidFill>
                              <a:schemeClr val="tx1">
                                <a:lumMod val="75000"/>
                                <a:lumOff val="25000"/>
                              </a:schemeClr>
                            </a:solidFill>
                            <a:latin typeface="+mn-lt"/>
                            <a:ea typeface="+mn-ea"/>
                            <a:cs typeface="+mn-cs"/>
                          </a:defRPr>
                        </a:pPr>
                        <a:endParaRPr lang="ko-KR"/>
                      </a:p>
                    </c:txPr>
                    <c:showLegendKey val="0"/>
                    <c:showVal val="0"/>
                    <c:showCatName val="1"/>
                    <c:showSerName val="0"/>
                    <c:showPercent val="1"/>
                    <c:showBubbleSize val="0"/>
                    <c:extLst xmlns:c16="http://schemas.microsoft.com/office/drawing/2014/chart">
                      <c:ex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17-1A21-40DC-9B64-192AC2CD6C91}"/>
                      </c:ext>
                    </c:extLst>
                  </c15:dLbl>
                </c15:categoryFilterException>
                <c15:categoryFilterException>
                  <c15:sqref>'E-Board'!$K$20</c15:sqref>
                  <c15:spPr xmlns:c15="http://schemas.microsoft.com/office/drawing/2012/chart">
                    <a:solidFill>
                      <a:schemeClr val="accent3">
                        <a:lumMod val="60000"/>
                      </a:schemeClr>
                    </a:solidFill>
                    <a:ln w="19050">
                      <a:solidFill>
                        <a:schemeClr val="lt1"/>
                      </a:solidFill>
                    </a:ln>
                    <a:effectLst/>
                  </c15:spPr>
                  <c15:bubble3D val="0"/>
                  <c15:dLbl>
                    <c:idx val="3"/>
                    <c:layout>
                      <c:manualLayout>
                        <c:x val="-0.10964037976470951"/>
                        <c:y val="-5.3945945277145677E-2"/>
                      </c:manualLayout>
                    </c:layout>
                    <c:numFmt formatCode="General" sourceLinked="0"/>
                    <c:spPr>
                      <a:solidFill>
                        <a:schemeClr val="accent1">
                          <a:lumMod val="60000"/>
                          <a:lumOff val="40000"/>
                        </a:schemeClr>
                      </a:solidFill>
                      <a:ln>
                        <a:noFill/>
                      </a:ln>
                      <a:effectLst/>
                    </c:spPr>
                    <c:txPr>
                      <a:bodyPr rot="0" spcFirstLastPara="1" vertOverflow="overflow" horzOverflow="overflow" vert="horz" wrap="square" lIns="38100" tIns="19050" rIns="38100" bIns="19050" anchor="t" anchorCtr="0">
                        <a:spAutoFit/>
                      </a:bodyPr>
                      <a:lstStyle/>
                      <a:p>
                        <a:pPr>
                          <a:defRPr sz="1200" b="1" i="0" u="none" strike="noStrike" kern="1200" baseline="0">
                            <a:solidFill>
                              <a:schemeClr val="tx1">
                                <a:lumMod val="75000"/>
                                <a:lumOff val="25000"/>
                              </a:schemeClr>
                            </a:solidFill>
                            <a:latin typeface="+mn-lt"/>
                            <a:ea typeface="+mn-ea"/>
                            <a:cs typeface="+mn-cs"/>
                          </a:defRPr>
                        </a:pPr>
                        <a:endParaRPr lang="ko-KR"/>
                      </a:p>
                    </c:txPr>
                    <c:showLegendKey val="0"/>
                    <c:showVal val="0"/>
                    <c:showCatName val="1"/>
                    <c:showSerName val="0"/>
                    <c:showPercent val="1"/>
                    <c:showBubbleSize val="0"/>
                    <c:extLst xmlns:c16="http://schemas.microsoft.com/office/drawing/2014/chart">
                      <c:ex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19-1A21-40DC-9B64-192AC2CD6C91}"/>
                      </c:ext>
                    </c:extLst>
                  </c15:dLbl>
                </c15:categoryFilterException>
                <c15:categoryFilterException>
                  <c15:sqref>'E-Board'!$M$20</c15:sqref>
                  <c15:spPr xmlns:c15="http://schemas.microsoft.com/office/drawing/2012/chart">
                    <a:solidFill>
                      <a:schemeClr val="accent5">
                        <a:lumMod val="60000"/>
                      </a:schemeClr>
                    </a:solidFill>
                    <a:ln w="19050">
                      <a:solidFill>
                        <a:schemeClr val="lt1"/>
                      </a:solidFill>
                    </a:ln>
                    <a:effectLst/>
                  </c15:spPr>
                  <c15:bubble3D val="0"/>
                  <c15:dLbl>
                    <c:idx val="4"/>
                    <c:layout>
                      <c:manualLayout>
                        <c:x val="0.17862449354626725"/>
                        <c:y val="2.6590188984285508E-2"/>
                      </c:manualLayout>
                    </c:layout>
                    <c:numFmt formatCode="General" sourceLinked="0"/>
                    <c:spPr>
                      <a:solidFill>
                        <a:schemeClr val="accent6">
                          <a:lumMod val="40000"/>
                          <a:lumOff val="60000"/>
                        </a:schemeClr>
                      </a:solidFill>
                      <a:ln>
                        <a:noFill/>
                      </a:ln>
                      <a:effectLst/>
                    </c:spPr>
                    <c:txPr>
                      <a:bodyPr rot="0" spcFirstLastPara="1" vertOverflow="overflow" horzOverflow="overflow" vert="horz" wrap="square" lIns="38100" tIns="19050" rIns="38100" bIns="19050" anchor="t" anchorCtr="0">
                        <a:spAutoFit/>
                      </a:bodyPr>
                      <a:lstStyle/>
                      <a:p>
                        <a:pPr>
                          <a:defRPr sz="1200" b="1" i="0" u="none" strike="noStrike" kern="1200" baseline="0">
                            <a:solidFill>
                              <a:schemeClr val="tx1">
                                <a:lumMod val="75000"/>
                                <a:lumOff val="25000"/>
                              </a:schemeClr>
                            </a:solidFill>
                            <a:latin typeface="+mn-lt"/>
                            <a:ea typeface="+mn-ea"/>
                            <a:cs typeface="+mn-cs"/>
                          </a:defRPr>
                        </a:pPr>
                        <a:endParaRPr lang="ko-KR"/>
                      </a:p>
                    </c:txPr>
                    <c:showLegendKey val="0"/>
                    <c:showVal val="0"/>
                    <c:showCatName val="1"/>
                    <c:showSerName val="0"/>
                    <c:showPercent val="1"/>
                    <c:showBubbleSize val="0"/>
                    <c:extLst xmlns:c16="http://schemas.microsoft.com/office/drawing/2014/chart">
                      <c:ext uri="{CE6537A1-D6FC-4f65-9D91-7224C49458BB}">
                        <c15:spPr xmlns:c15="http://schemas.microsoft.com/office/drawing/2012/chart">
                          <a:prstGeom prst="rect">
                            <a:avLst/>
                          </a:prstGeom>
                          <a:noFill/>
                          <a:ln>
                            <a:noFill/>
                          </a:ln>
                        </c15:spPr>
                      </c:ext>
                      <c:ext xmlns:c16="http://schemas.microsoft.com/office/drawing/2014/chart" uri="{C3380CC4-5D6E-409C-BE32-E72D297353CC}">
                        <c16:uniqueId val="{0000001B-1A21-40DC-9B64-192AC2CD6C91}"/>
                      </c:ext>
                    </c:extLst>
                  </c15:dLbl>
                </c15:categoryFilterException>
              </c15:categoryFilterExceptions>
            </c:ext>
            <c:ext xmlns:c16="http://schemas.microsoft.com/office/drawing/2014/chart" uri="{C3380CC4-5D6E-409C-BE32-E72D297353CC}">
              <c16:uniqueId val="{00000014-9C08-42B1-8929-B9B9D50BB8A2}"/>
            </c:ext>
          </c:extLst>
        </c:ser>
        <c:dLbls>
          <c:showLegendKey val="0"/>
          <c:showVal val="0"/>
          <c:showCatName val="0"/>
          <c:showSerName val="0"/>
          <c:showPercent val="0"/>
          <c:showBubbleSize val="0"/>
          <c:showLeaderLines val="1"/>
        </c:dLbls>
        <c:firstSliceAng val="0"/>
      </c:pieChart>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tLang="ko-KR" sz="2000"/>
              <a:t>Technical Support Q'ty Rate</a:t>
            </a:r>
            <a:endParaRPr lang="ko-KR" altLang="en-US" sz="2000"/>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ko-K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tx>
            <c:strRef>
              <c:f>'Weekly Performance'!$B$2:$B$3</c:f>
              <c:strCache>
                <c:ptCount val="2"/>
                <c:pt idx="0">
                  <c:v>Technical Support(Complete)</c:v>
                </c:pt>
                <c:pt idx="1">
                  <c:v>건수</c:v>
                </c:pt>
              </c:strCache>
            </c:strRef>
          </c:tx>
          <c:dPt>
            <c:idx val="0"/>
            <c:bubble3D val="0"/>
            <c:spPr>
              <a:solidFill>
                <a:schemeClr val="accent1"/>
              </a:solidFill>
              <a:ln w="25400">
                <a:solidFill>
                  <a:schemeClr val="lt1"/>
                </a:solidFill>
              </a:ln>
              <a:effectLst/>
              <a:sp3d contourW="25400">
                <a:contourClr>
                  <a:schemeClr val="lt1"/>
                </a:contourClr>
              </a:sp3d>
            </c:spPr>
            <c:extLst>
              <c:ext xmlns:c16="http://schemas.microsoft.com/office/drawing/2014/chart" uri="{C3380CC4-5D6E-409C-BE32-E72D297353CC}">
                <c16:uniqueId val="{00000001-F533-41E3-926F-432D688D2499}"/>
              </c:ext>
            </c:extLst>
          </c:dPt>
          <c:dPt>
            <c:idx val="1"/>
            <c:bubble3D val="0"/>
            <c:spPr>
              <a:solidFill>
                <a:schemeClr val="accent2"/>
              </a:solidFill>
              <a:ln w="25400">
                <a:solidFill>
                  <a:schemeClr val="lt1"/>
                </a:solidFill>
              </a:ln>
              <a:effectLst/>
              <a:sp3d contourW="25400">
                <a:contourClr>
                  <a:schemeClr val="lt1"/>
                </a:contourClr>
              </a:sp3d>
            </c:spPr>
            <c:extLst>
              <c:ext xmlns:c16="http://schemas.microsoft.com/office/drawing/2014/chart" uri="{C3380CC4-5D6E-409C-BE32-E72D297353CC}">
                <c16:uniqueId val="{00000003-F533-41E3-926F-432D688D2499}"/>
              </c:ext>
            </c:extLst>
          </c:dPt>
          <c:dPt>
            <c:idx val="2"/>
            <c:bubble3D val="0"/>
            <c:spPr>
              <a:solidFill>
                <a:schemeClr val="accent3"/>
              </a:solidFill>
              <a:ln w="25400">
                <a:solidFill>
                  <a:schemeClr val="lt1"/>
                </a:solidFill>
              </a:ln>
              <a:effectLst/>
              <a:sp3d contourW="25400">
                <a:contourClr>
                  <a:schemeClr val="lt1"/>
                </a:contourClr>
              </a:sp3d>
            </c:spPr>
            <c:extLst>
              <c:ext xmlns:c16="http://schemas.microsoft.com/office/drawing/2014/chart" uri="{C3380CC4-5D6E-409C-BE32-E72D297353CC}">
                <c16:uniqueId val="{00000005-F533-41E3-926F-432D688D2499}"/>
              </c:ext>
            </c:extLst>
          </c:dPt>
          <c:dPt>
            <c:idx val="3"/>
            <c:bubble3D val="0"/>
            <c:spPr>
              <a:solidFill>
                <a:schemeClr val="accent4"/>
              </a:solidFill>
              <a:ln w="25400">
                <a:solidFill>
                  <a:schemeClr val="lt1"/>
                </a:solidFill>
              </a:ln>
              <a:effectLst/>
              <a:sp3d contourW="25400">
                <a:contourClr>
                  <a:schemeClr val="lt1"/>
                </a:contourClr>
              </a:sp3d>
            </c:spPr>
            <c:extLst>
              <c:ext xmlns:c16="http://schemas.microsoft.com/office/drawing/2014/chart" uri="{C3380CC4-5D6E-409C-BE32-E72D297353CC}">
                <c16:uniqueId val="{00000007-F533-41E3-926F-432D688D2499}"/>
              </c:ext>
            </c:extLst>
          </c:dPt>
          <c:dPt>
            <c:idx val="4"/>
            <c:bubble3D val="0"/>
            <c:spPr>
              <a:solidFill>
                <a:schemeClr val="accent5"/>
              </a:solidFill>
              <a:ln w="25400">
                <a:solidFill>
                  <a:schemeClr val="lt1"/>
                </a:solidFill>
              </a:ln>
              <a:effectLst/>
              <a:sp3d contourW="25400">
                <a:contourClr>
                  <a:schemeClr val="lt1"/>
                </a:contourClr>
              </a:sp3d>
            </c:spPr>
            <c:extLst>
              <c:ext xmlns:c16="http://schemas.microsoft.com/office/drawing/2014/chart" uri="{C3380CC4-5D6E-409C-BE32-E72D297353CC}">
                <c16:uniqueId val="{00000009-F533-41E3-926F-432D688D2499}"/>
              </c:ext>
            </c:extLst>
          </c:dPt>
          <c:dPt>
            <c:idx val="5"/>
            <c:bubble3D val="0"/>
            <c:spPr>
              <a:solidFill>
                <a:schemeClr val="accent6"/>
              </a:solidFill>
              <a:ln w="25400">
                <a:solidFill>
                  <a:schemeClr val="lt1"/>
                </a:solidFill>
              </a:ln>
              <a:effectLst/>
              <a:sp3d contourW="25400">
                <a:contourClr>
                  <a:schemeClr val="lt1"/>
                </a:contourClr>
              </a:sp3d>
            </c:spPr>
            <c:extLst>
              <c:ext xmlns:c16="http://schemas.microsoft.com/office/drawing/2014/chart" uri="{C3380CC4-5D6E-409C-BE32-E72D297353CC}">
                <c16:uniqueId val="{0000000B-6ADB-4BC6-8240-3BA792799092}"/>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ko-KR"/>
              </a:p>
            </c:txPr>
            <c:dLblPos val="outEnd"/>
            <c:showLegendKey val="0"/>
            <c:showVal val="0"/>
            <c:showCatName val="1"/>
            <c:showSerName val="0"/>
            <c:showPercent val="1"/>
            <c:showBubbleSize val="0"/>
            <c:separator>
</c:separator>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'Weekly Performance'!$A$4:$A$10</c:f>
              <c:strCache>
                <c:ptCount val="6"/>
                <c:pt idx="0">
                  <c:v>강영구</c:v>
                </c:pt>
                <c:pt idx="1">
                  <c:v>장은철</c:v>
                </c:pt>
                <c:pt idx="2">
                  <c:v>허준영</c:v>
                </c:pt>
                <c:pt idx="3">
                  <c:v>박병대</c:v>
                </c:pt>
                <c:pt idx="4">
                  <c:v>최준영</c:v>
                </c:pt>
                <c:pt idx="5">
                  <c:v>정기수</c:v>
                </c:pt>
              </c:strCache>
            </c:strRef>
          </c:cat>
          <c:val>
            <c:numRef>
              <c:f>'Weekly Performance'!$B$4:$B$10</c:f>
              <c:numCache>
                <c:formatCode>_(* #,##0_);_(* \(#,##0\);_(* "-"_);_(@_)</c:formatCode>
                <c:ptCount val="6"/>
                <c:pt idx="0">
                  <c:v>3</c:v>
                </c:pt>
                <c:pt idx="1">
                  <c:v>6</c:v>
                </c:pt>
                <c:pt idx="2">
                  <c:v>10</c:v>
                </c:pt>
                <c:pt idx="3">
                  <c:v>0</c:v>
                </c:pt>
                <c:pt idx="4">
                  <c:v>5</c:v>
                </c:pt>
                <c:pt idx="5">
                  <c:v>1</c:v>
                </c:pt>
              </c:numCache>
            </c:numRef>
          </c:val>
          <c:extLst>
            <c:ext xmlns:c16="http://schemas.microsoft.com/office/drawing/2014/chart" uri="{C3380CC4-5D6E-409C-BE32-E72D297353CC}">
              <c16:uniqueId val="{0000000C-F533-41E3-926F-432D688D2499}"/>
            </c:ext>
          </c:extLst>
        </c:ser>
        <c:dLbls>
          <c:showLegendKey val="0"/>
          <c:showVal val="0"/>
          <c:showCatName val="0"/>
          <c:showSerName val="0"/>
          <c:showPercent val="0"/>
          <c:showBubbleSize val="0"/>
          <c:showLeaderLines val="1"/>
        </c:dLbls>
      </c:pie3DChart>
      <c:spPr>
        <a:noFill/>
        <a:ln>
          <a:noFill/>
        </a:ln>
        <a:effectLst/>
      </c:spPr>
    </c:plotArea>
    <c:legend>
      <c:legendPos val="r"/>
      <c:legendEntry>
        <c:idx val="0"/>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Entry>
      <c:legendEntry>
        <c:idx val="1"/>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Entry>
      <c:legendEntry>
        <c:idx val="2"/>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Entry>
      <c:legendEntry>
        <c:idx val="3"/>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Entry>
      <c:legendEntry>
        <c:idx val="4"/>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Entry>
      <c:layout>
        <c:manualLayout>
          <c:xMode val="edge"/>
          <c:yMode val="edge"/>
          <c:x val="0.8568215943081926"/>
          <c:y val="0.10403941241500075"/>
          <c:w val="0.1110653811665063"/>
          <c:h val="0.80274660987733704"/>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tLang="ko-KR" sz="1800" b="0" i="0" baseline="0">
                <a:effectLst/>
              </a:rPr>
              <a:t>Technical Support Q'ty &amp; Cost Save(Kwon) </a:t>
            </a:r>
            <a:endParaRPr lang="ko-KR" altLang="ko-KR">
              <a:effectLst/>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ko-KR"/>
        </a:p>
      </c:txPr>
    </c:title>
    <c:autoTitleDeleted val="0"/>
    <c:plotArea>
      <c:layout>
        <c:manualLayout>
          <c:layoutTarget val="inner"/>
          <c:xMode val="edge"/>
          <c:yMode val="edge"/>
          <c:x val="3.94122676784033E-2"/>
          <c:y val="0.21418988210969714"/>
          <c:w val="0.88666497366363994"/>
          <c:h val="0.59491626048680979"/>
        </c:manualLayout>
      </c:layout>
      <c:barChart>
        <c:barDir val="col"/>
        <c:grouping val="clustered"/>
        <c:varyColors val="0"/>
        <c:ser>
          <c:idx val="2"/>
          <c:order val="1"/>
          <c:tx>
            <c:strRef>
              <c:f>'Weekly Performance'!$D$2:$D$3</c:f>
              <c:strCache>
                <c:ptCount val="2"/>
                <c:pt idx="0">
                  <c:v>Technical Support(Complete)</c:v>
                </c:pt>
                <c:pt idx="1">
                  <c:v>Cost Save(K\)</c:v>
                </c:pt>
              </c:strCache>
            </c:strRef>
          </c:tx>
          <c:spPr>
            <a:solidFill>
              <a:schemeClr val="accent4">
                <a:lumMod val="60000"/>
                <a:lumOff val="40000"/>
              </a:schemeClr>
            </a:solidFill>
            <a:ln>
              <a:noFill/>
            </a:ln>
            <a:effectLst/>
          </c:spPr>
          <c:invertIfNegative val="0"/>
          <c:dLbls>
            <c:spPr>
              <a:solidFill>
                <a:schemeClr val="accent4">
                  <a:lumMod val="20000"/>
                  <a:lumOff val="80000"/>
                </a:schemeClr>
              </a:solid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ko-KR"/>
              </a:p>
            </c:txPr>
            <c:dLblPos val="inBase"/>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'Weekly Performance'!$A$4:$A$10</c:f>
              <c:strCache>
                <c:ptCount val="6"/>
                <c:pt idx="0">
                  <c:v>강영구</c:v>
                </c:pt>
                <c:pt idx="1">
                  <c:v>장은철</c:v>
                </c:pt>
                <c:pt idx="2">
                  <c:v>허준영</c:v>
                </c:pt>
                <c:pt idx="3">
                  <c:v>박병대</c:v>
                </c:pt>
                <c:pt idx="4">
                  <c:v>최준영</c:v>
                </c:pt>
                <c:pt idx="5">
                  <c:v>정기수</c:v>
                </c:pt>
              </c:strCache>
            </c:strRef>
          </c:cat>
          <c:val>
            <c:numRef>
              <c:f>'Weekly Performance'!$D$4:$D$10</c:f>
              <c:numCache>
                <c:formatCode>_(* #,##0_);_(* \(#,##0\);_(* "-"_);_(@_)</c:formatCode>
                <c:ptCount val="6"/>
                <c:pt idx="0">
                  <c:v>1555</c:v>
                </c:pt>
                <c:pt idx="1">
                  <c:v>10600</c:v>
                </c:pt>
                <c:pt idx="2">
                  <c:v>15200</c:v>
                </c:pt>
                <c:pt idx="3">
                  <c:v>0</c:v>
                </c:pt>
                <c:pt idx="4">
                  <c:v>4248</c:v>
                </c:pt>
                <c:pt idx="5">
                  <c:v>2495</c:v>
                </c:pt>
              </c:numCache>
            </c:numRef>
          </c:val>
          <c:extLst>
            <c:ext xmlns:c16="http://schemas.microsoft.com/office/drawing/2014/chart" uri="{C3380CC4-5D6E-409C-BE32-E72D297353CC}">
              <c16:uniqueId val="{00000000-11D9-414C-8F7C-485F5E0BC3DE}"/>
            </c:ext>
          </c:extLst>
        </c:ser>
        <c:dLbls>
          <c:showLegendKey val="0"/>
          <c:showVal val="0"/>
          <c:showCatName val="0"/>
          <c:showSerName val="0"/>
          <c:showPercent val="0"/>
          <c:showBubbleSize val="0"/>
        </c:dLbls>
        <c:gapWidth val="219"/>
        <c:axId val="405430776"/>
        <c:axId val="405424896"/>
      </c:barChart>
      <c:lineChart>
        <c:grouping val="standard"/>
        <c:varyColors val="0"/>
        <c:ser>
          <c:idx val="0"/>
          <c:order val="0"/>
          <c:tx>
            <c:strRef>
              <c:f>'Weekly Performance'!$B$2:$B$3</c:f>
              <c:strCache>
                <c:ptCount val="2"/>
                <c:pt idx="0">
                  <c:v>Technical Support(Complete)</c:v>
                </c:pt>
                <c:pt idx="1">
                  <c:v>건수</c:v>
                </c:pt>
              </c:strCache>
            </c:strRef>
          </c:tx>
          <c:spPr>
            <a:ln w="28575" cap="rnd">
              <a:noFill/>
              <a:round/>
            </a:ln>
            <a:effectLst/>
          </c:spPr>
          <c:marker>
            <c:symbol val="diamond"/>
            <c:size val="10"/>
            <c:spPr>
              <a:solidFill>
                <a:schemeClr val="accent1"/>
              </a:solidFill>
              <a:ln w="9525">
                <a:solidFill>
                  <a:schemeClr val="accent1"/>
                </a:solidFill>
              </a:ln>
              <a:effectLst/>
            </c:spPr>
          </c:marker>
          <c:dLbls>
            <c:spPr>
              <a:solidFill>
                <a:schemeClr val="accent1">
                  <a:lumMod val="20000"/>
                  <a:lumOff val="80000"/>
                </a:schemeClr>
              </a:solid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ko-KR"/>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'Weekly Performance'!$A$4:$A$10</c:f>
              <c:strCache>
                <c:ptCount val="6"/>
                <c:pt idx="0">
                  <c:v>강영구</c:v>
                </c:pt>
                <c:pt idx="1">
                  <c:v>장은철</c:v>
                </c:pt>
                <c:pt idx="2">
                  <c:v>허준영</c:v>
                </c:pt>
                <c:pt idx="3">
                  <c:v>박병대</c:v>
                </c:pt>
                <c:pt idx="4">
                  <c:v>최준영</c:v>
                </c:pt>
                <c:pt idx="5">
                  <c:v>정기수</c:v>
                </c:pt>
              </c:strCache>
            </c:strRef>
          </c:cat>
          <c:val>
            <c:numRef>
              <c:f>'Weekly Performance'!$B$4:$B$10</c:f>
              <c:numCache>
                <c:formatCode>_(* #,##0_);_(* \(#,##0\);_(* "-"_);_(@_)</c:formatCode>
                <c:ptCount val="6"/>
                <c:pt idx="0">
                  <c:v>3</c:v>
                </c:pt>
                <c:pt idx="1">
                  <c:v>6</c:v>
                </c:pt>
                <c:pt idx="2">
                  <c:v>10</c:v>
                </c:pt>
                <c:pt idx="3">
                  <c:v>0</c:v>
                </c:pt>
                <c:pt idx="4">
                  <c:v>5</c:v>
                </c:pt>
                <c:pt idx="5">
                  <c:v>1</c:v>
                </c:pt>
              </c:numCache>
            </c:numRef>
          </c:val>
          <c:smooth val="0"/>
          <c:extLst>
            <c:ext xmlns:c16="http://schemas.microsoft.com/office/drawing/2014/chart" uri="{C3380CC4-5D6E-409C-BE32-E72D297353CC}">
              <c16:uniqueId val="{00000001-11D9-414C-8F7C-485F5E0BC3DE}"/>
            </c:ext>
          </c:extLst>
        </c:ser>
        <c:dLbls>
          <c:showLegendKey val="0"/>
          <c:showVal val="0"/>
          <c:showCatName val="0"/>
          <c:showSerName val="0"/>
          <c:showPercent val="0"/>
          <c:showBubbleSize val="0"/>
        </c:dLbls>
        <c:marker val="1"/>
        <c:smooth val="0"/>
        <c:axId val="405429208"/>
        <c:axId val="405429600"/>
      </c:lineChart>
      <c:catAx>
        <c:axId val="40542920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crossAx val="405429600"/>
        <c:crosses val="autoZero"/>
        <c:auto val="1"/>
        <c:lblAlgn val="ctr"/>
        <c:lblOffset val="100"/>
        <c:noMultiLvlLbl val="0"/>
      </c:catAx>
      <c:valAx>
        <c:axId val="405429600"/>
        <c:scaling>
          <c:orientation val="minMax"/>
        </c:scaling>
        <c:delete val="0"/>
        <c:axPos val="l"/>
        <c:majorGridlines>
          <c:spPr>
            <a:ln w="9525" cap="flat" cmpd="sng" algn="ctr">
              <a:solidFill>
                <a:schemeClr val="tx1">
                  <a:lumMod val="15000"/>
                  <a:lumOff val="85000"/>
                </a:schemeClr>
              </a:solidFill>
              <a:round/>
            </a:ln>
            <a:effectLst/>
          </c:spPr>
        </c:majorGridlines>
        <c:numFmt formatCode="_(* #,##0_);_(* \(#,##0\);_(*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crossAx val="405429208"/>
        <c:crosses val="autoZero"/>
        <c:crossBetween val="between"/>
      </c:valAx>
      <c:valAx>
        <c:axId val="405424896"/>
        <c:scaling>
          <c:orientation val="minMax"/>
        </c:scaling>
        <c:delete val="0"/>
        <c:axPos val="r"/>
        <c:numFmt formatCode="_(* #,##0_);_(* \(#,##0\);_(* &quot;-&quot;_);_(@_)"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crossAx val="405430776"/>
        <c:crosses val="max"/>
        <c:crossBetween val="between"/>
      </c:valAx>
      <c:catAx>
        <c:axId val="405430776"/>
        <c:scaling>
          <c:orientation val="minMax"/>
        </c:scaling>
        <c:delete val="1"/>
        <c:axPos val="b"/>
        <c:numFmt formatCode="General" sourceLinked="1"/>
        <c:majorTickMark val="out"/>
        <c:minorTickMark val="none"/>
        <c:tickLblPos val="nextTo"/>
        <c:crossAx val="405424896"/>
        <c:crosses val="autoZero"/>
        <c:auto val="1"/>
        <c:lblAlgn val="ctr"/>
        <c:lblOffset val="100"/>
        <c:noMultiLvlLbl val="0"/>
      </c:cat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tLang="ko-KR" sz="2400"/>
              <a:t>Technical</a:t>
            </a:r>
            <a:r>
              <a:rPr lang="en-US" altLang="ko-KR" sz="2400" baseline="0"/>
              <a:t> Support Q'ty &amp; Cost Save(Kwon) </a:t>
            </a:r>
            <a:endParaRPr lang="ko-KR" altLang="en-US" sz="2400"/>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ko-KR"/>
        </a:p>
      </c:txPr>
    </c:title>
    <c:autoTitleDeleted val="0"/>
    <c:plotArea>
      <c:layout/>
      <c:barChart>
        <c:barDir val="col"/>
        <c:grouping val="clustered"/>
        <c:varyColors val="0"/>
        <c:ser>
          <c:idx val="2"/>
          <c:order val="1"/>
          <c:tx>
            <c:strRef>
              <c:f>'Monthly Performance'!$D$2:$D$3</c:f>
              <c:strCache>
                <c:ptCount val="2"/>
                <c:pt idx="0">
                  <c:v>Technical Support(Complete)</c:v>
                </c:pt>
                <c:pt idx="1">
                  <c:v>Cost Save(K\)</c:v>
                </c:pt>
              </c:strCache>
            </c:strRef>
          </c:tx>
          <c:spPr>
            <a:solidFill>
              <a:schemeClr val="accent4">
                <a:lumMod val="60000"/>
                <a:lumOff val="40000"/>
              </a:schemeClr>
            </a:solidFill>
            <a:ln>
              <a:noFill/>
            </a:ln>
            <a:effectLst/>
          </c:spPr>
          <c:invertIfNegative val="0"/>
          <c:dLbls>
            <c:spPr>
              <a:solidFill>
                <a:schemeClr val="accent4">
                  <a:lumMod val="20000"/>
                  <a:lumOff val="80000"/>
                </a:schemeClr>
              </a:solid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ko-KR"/>
              </a:p>
            </c:txPr>
            <c:dLblPos val="inBase"/>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'Monthly Performance'!$A$4:$A$9</c:f>
              <c:strCache>
                <c:ptCount val="6"/>
                <c:pt idx="0">
                  <c:v>강영구</c:v>
                </c:pt>
                <c:pt idx="1">
                  <c:v>장은철</c:v>
                </c:pt>
                <c:pt idx="2">
                  <c:v>허준영</c:v>
                </c:pt>
                <c:pt idx="3">
                  <c:v>박병대</c:v>
                </c:pt>
                <c:pt idx="4">
                  <c:v>최준영</c:v>
                </c:pt>
                <c:pt idx="5">
                  <c:v>정기수</c:v>
                </c:pt>
              </c:strCache>
            </c:strRef>
          </c:cat>
          <c:val>
            <c:numRef>
              <c:f>'Monthly Performance'!$D$4:$D$9</c:f>
              <c:numCache>
                <c:formatCode>_(* #,##0_);_(* \(#,##0\);_(* "-"_);_(@_)</c:formatCode>
                <c:ptCount val="6"/>
                <c:pt idx="0">
                  <c:v>10462</c:v>
                </c:pt>
                <c:pt idx="1">
                  <c:v>72968</c:v>
                </c:pt>
                <c:pt idx="2">
                  <c:v>46938</c:v>
                </c:pt>
                <c:pt idx="3">
                  <c:v>0</c:v>
                </c:pt>
                <c:pt idx="4">
                  <c:v>10545</c:v>
                </c:pt>
                <c:pt idx="5">
                  <c:v>35399.5</c:v>
                </c:pt>
              </c:numCache>
            </c:numRef>
          </c:val>
          <c:extLst>
            <c:ext xmlns:c16="http://schemas.microsoft.com/office/drawing/2014/chart" uri="{C3380CC4-5D6E-409C-BE32-E72D297353CC}">
              <c16:uniqueId val="{00000000-DBF9-4CAF-A27A-457CBF333707}"/>
            </c:ext>
          </c:extLst>
        </c:ser>
        <c:dLbls>
          <c:showLegendKey val="0"/>
          <c:showVal val="0"/>
          <c:showCatName val="0"/>
          <c:showSerName val="0"/>
          <c:showPercent val="0"/>
          <c:showBubbleSize val="0"/>
        </c:dLbls>
        <c:gapWidth val="219"/>
        <c:axId val="405423720"/>
        <c:axId val="405423328"/>
      </c:barChart>
      <c:lineChart>
        <c:grouping val="standard"/>
        <c:varyColors val="0"/>
        <c:ser>
          <c:idx val="0"/>
          <c:order val="0"/>
          <c:tx>
            <c:strRef>
              <c:f>'Monthly Performance'!$B$2:$B$3</c:f>
              <c:strCache>
                <c:ptCount val="2"/>
                <c:pt idx="0">
                  <c:v>Technical Support(Complete)</c:v>
                </c:pt>
                <c:pt idx="1">
                  <c:v>건수</c:v>
                </c:pt>
              </c:strCache>
            </c:strRef>
          </c:tx>
          <c:spPr>
            <a:ln w="28575" cap="rnd">
              <a:noFill/>
              <a:round/>
            </a:ln>
            <a:effectLst/>
          </c:spPr>
          <c:marker>
            <c:symbol val="diamond"/>
            <c:size val="10"/>
            <c:spPr>
              <a:solidFill>
                <a:schemeClr val="accent1"/>
              </a:solidFill>
              <a:ln w="9525">
                <a:solidFill>
                  <a:schemeClr val="accent1"/>
                </a:solidFill>
              </a:ln>
              <a:effectLst/>
            </c:spPr>
          </c:marker>
          <c:dLbls>
            <c:spPr>
              <a:solidFill>
                <a:schemeClr val="accent1">
                  <a:lumMod val="20000"/>
                  <a:lumOff val="80000"/>
                </a:schemeClr>
              </a:solid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accent1">
                        <a:lumMod val="75000"/>
                      </a:schemeClr>
                    </a:solidFill>
                    <a:latin typeface="+mn-lt"/>
                    <a:ea typeface="+mn-ea"/>
                    <a:cs typeface="+mn-cs"/>
                  </a:defRPr>
                </a:pPr>
                <a:endParaRPr lang="ko-KR"/>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'Monthly Performance'!$A$4:$A$9</c:f>
              <c:strCache>
                <c:ptCount val="6"/>
                <c:pt idx="0">
                  <c:v>강영구</c:v>
                </c:pt>
                <c:pt idx="1">
                  <c:v>장은철</c:v>
                </c:pt>
                <c:pt idx="2">
                  <c:v>허준영</c:v>
                </c:pt>
                <c:pt idx="3">
                  <c:v>박병대</c:v>
                </c:pt>
                <c:pt idx="4">
                  <c:v>최준영</c:v>
                </c:pt>
                <c:pt idx="5">
                  <c:v>정기수</c:v>
                </c:pt>
              </c:strCache>
            </c:strRef>
          </c:cat>
          <c:val>
            <c:numRef>
              <c:f>'Monthly Performance'!$B$4:$B$9</c:f>
              <c:numCache>
                <c:formatCode>_(* #,##0_);_(* \(#,##0\);_(* "-"_);_(@_)</c:formatCode>
                <c:ptCount val="6"/>
                <c:pt idx="0">
                  <c:v>23</c:v>
                </c:pt>
                <c:pt idx="1">
                  <c:v>42</c:v>
                </c:pt>
                <c:pt idx="2">
                  <c:v>31</c:v>
                </c:pt>
                <c:pt idx="3">
                  <c:v>0</c:v>
                </c:pt>
                <c:pt idx="4">
                  <c:v>24</c:v>
                </c:pt>
                <c:pt idx="5">
                  <c:v>37</c:v>
                </c:pt>
              </c:numCache>
            </c:numRef>
          </c:val>
          <c:smooth val="0"/>
          <c:extLst>
            <c:ext xmlns:c16="http://schemas.microsoft.com/office/drawing/2014/chart" uri="{C3380CC4-5D6E-409C-BE32-E72D297353CC}">
              <c16:uniqueId val="{00000001-DBF9-4CAF-A27A-457CBF333707}"/>
            </c:ext>
          </c:extLst>
        </c:ser>
        <c:dLbls>
          <c:showLegendKey val="0"/>
          <c:showVal val="0"/>
          <c:showCatName val="0"/>
          <c:showSerName val="0"/>
          <c:showPercent val="0"/>
          <c:showBubbleSize val="0"/>
        </c:dLbls>
        <c:marker val="1"/>
        <c:smooth val="0"/>
        <c:axId val="405425288"/>
        <c:axId val="405429992"/>
      </c:lineChart>
      <c:catAx>
        <c:axId val="40542528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crossAx val="405429992"/>
        <c:crosses val="autoZero"/>
        <c:auto val="1"/>
        <c:lblAlgn val="ctr"/>
        <c:lblOffset val="100"/>
        <c:noMultiLvlLbl val="0"/>
      </c:catAx>
      <c:valAx>
        <c:axId val="405429992"/>
        <c:scaling>
          <c:orientation val="minMax"/>
        </c:scaling>
        <c:delete val="0"/>
        <c:axPos val="l"/>
        <c:majorGridlines>
          <c:spPr>
            <a:ln w="9525" cap="flat" cmpd="sng" algn="ctr">
              <a:solidFill>
                <a:schemeClr val="tx1">
                  <a:lumMod val="15000"/>
                  <a:lumOff val="85000"/>
                </a:schemeClr>
              </a:solidFill>
              <a:round/>
            </a:ln>
            <a:effectLst/>
          </c:spPr>
        </c:majorGridlines>
        <c:numFmt formatCode="_(* #,##0_);_(* \(#,##0\);_(*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crossAx val="405425288"/>
        <c:crosses val="autoZero"/>
        <c:crossBetween val="between"/>
      </c:valAx>
      <c:valAx>
        <c:axId val="405423328"/>
        <c:scaling>
          <c:orientation val="minMax"/>
        </c:scaling>
        <c:delete val="0"/>
        <c:axPos val="r"/>
        <c:numFmt formatCode="_(* #,##0_);_(* \(#,##0\);_(* &quot;-&quot;_);_(@_)"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crossAx val="405423720"/>
        <c:crosses val="max"/>
        <c:crossBetween val="between"/>
      </c:valAx>
      <c:catAx>
        <c:axId val="405423720"/>
        <c:scaling>
          <c:orientation val="minMax"/>
        </c:scaling>
        <c:delete val="1"/>
        <c:axPos val="b"/>
        <c:numFmt formatCode="General" sourceLinked="1"/>
        <c:majorTickMark val="out"/>
        <c:minorTickMark val="none"/>
        <c:tickLblPos val="nextTo"/>
        <c:crossAx val="405423328"/>
        <c:crosses val="autoZero"/>
        <c:auto val="1"/>
        <c:lblAlgn val="ctr"/>
        <c:lblOffset val="100"/>
        <c:noMultiLvlLbl val="0"/>
      </c:cat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tLang="ko-KR" sz="2000"/>
              <a:t>Technical Support Q'ty Rate</a:t>
            </a:r>
            <a:endParaRPr lang="ko-KR" altLang="en-US" sz="2000"/>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ko-K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tx>
            <c:strRef>
              <c:f>'Monthly Performance'!$B$2:$B$3</c:f>
              <c:strCache>
                <c:ptCount val="2"/>
                <c:pt idx="0">
                  <c:v>Technical Support(Complete)</c:v>
                </c:pt>
                <c:pt idx="1">
                  <c:v>건수</c:v>
                </c:pt>
              </c:strCache>
            </c:strRef>
          </c:tx>
          <c:dPt>
            <c:idx val="0"/>
            <c:bubble3D val="0"/>
            <c:spPr>
              <a:solidFill>
                <a:schemeClr val="accent1"/>
              </a:solidFill>
              <a:ln w="25400">
                <a:solidFill>
                  <a:schemeClr val="lt1"/>
                </a:solidFill>
              </a:ln>
              <a:effectLst/>
              <a:sp3d contourW="25400">
                <a:contourClr>
                  <a:schemeClr val="lt1"/>
                </a:contourClr>
              </a:sp3d>
            </c:spPr>
            <c:extLst>
              <c:ext xmlns:c16="http://schemas.microsoft.com/office/drawing/2014/chart" uri="{C3380CC4-5D6E-409C-BE32-E72D297353CC}">
                <c16:uniqueId val="{00000001-BA50-4A4D-9B22-3EF47DFE2533}"/>
              </c:ext>
            </c:extLst>
          </c:dPt>
          <c:dPt>
            <c:idx val="1"/>
            <c:bubble3D val="0"/>
            <c:spPr>
              <a:solidFill>
                <a:schemeClr val="accent2"/>
              </a:solidFill>
              <a:ln w="25400">
                <a:solidFill>
                  <a:schemeClr val="lt1"/>
                </a:solidFill>
              </a:ln>
              <a:effectLst/>
              <a:sp3d contourW="25400">
                <a:contourClr>
                  <a:schemeClr val="lt1"/>
                </a:contourClr>
              </a:sp3d>
            </c:spPr>
            <c:extLst>
              <c:ext xmlns:c16="http://schemas.microsoft.com/office/drawing/2014/chart" uri="{C3380CC4-5D6E-409C-BE32-E72D297353CC}">
                <c16:uniqueId val="{00000003-BA50-4A4D-9B22-3EF47DFE2533}"/>
              </c:ext>
            </c:extLst>
          </c:dPt>
          <c:dPt>
            <c:idx val="2"/>
            <c:bubble3D val="0"/>
            <c:spPr>
              <a:solidFill>
                <a:schemeClr val="accent3"/>
              </a:solidFill>
              <a:ln w="25400">
                <a:solidFill>
                  <a:schemeClr val="lt1"/>
                </a:solidFill>
              </a:ln>
              <a:effectLst/>
              <a:sp3d contourW="25400">
                <a:contourClr>
                  <a:schemeClr val="lt1"/>
                </a:contourClr>
              </a:sp3d>
            </c:spPr>
            <c:extLst>
              <c:ext xmlns:c16="http://schemas.microsoft.com/office/drawing/2014/chart" uri="{C3380CC4-5D6E-409C-BE32-E72D297353CC}">
                <c16:uniqueId val="{00000005-BA50-4A4D-9B22-3EF47DFE2533}"/>
              </c:ext>
            </c:extLst>
          </c:dPt>
          <c:dPt>
            <c:idx val="3"/>
            <c:bubble3D val="0"/>
            <c:spPr>
              <a:solidFill>
                <a:schemeClr val="accent4"/>
              </a:solidFill>
              <a:ln w="25400">
                <a:solidFill>
                  <a:schemeClr val="lt1"/>
                </a:solidFill>
              </a:ln>
              <a:effectLst/>
              <a:sp3d contourW="25400">
                <a:contourClr>
                  <a:schemeClr val="lt1"/>
                </a:contourClr>
              </a:sp3d>
            </c:spPr>
            <c:extLst>
              <c:ext xmlns:c16="http://schemas.microsoft.com/office/drawing/2014/chart" uri="{C3380CC4-5D6E-409C-BE32-E72D297353CC}">
                <c16:uniqueId val="{00000007-BA50-4A4D-9B22-3EF47DFE2533}"/>
              </c:ext>
            </c:extLst>
          </c:dPt>
          <c:dPt>
            <c:idx val="4"/>
            <c:bubble3D val="0"/>
            <c:spPr>
              <a:solidFill>
                <a:schemeClr val="accent5"/>
              </a:solidFill>
              <a:ln w="25400">
                <a:solidFill>
                  <a:schemeClr val="lt1"/>
                </a:solidFill>
              </a:ln>
              <a:effectLst/>
              <a:sp3d contourW="25400">
                <a:contourClr>
                  <a:schemeClr val="lt1"/>
                </a:contourClr>
              </a:sp3d>
            </c:spPr>
            <c:extLst>
              <c:ext xmlns:c16="http://schemas.microsoft.com/office/drawing/2014/chart" uri="{C3380CC4-5D6E-409C-BE32-E72D297353CC}">
                <c16:uniqueId val="{00000009-BA50-4A4D-9B22-3EF47DFE2533}"/>
              </c:ext>
            </c:extLst>
          </c:dPt>
          <c:dPt>
            <c:idx val="5"/>
            <c:bubble3D val="0"/>
            <c:spPr>
              <a:solidFill>
                <a:schemeClr val="accent6"/>
              </a:solidFill>
              <a:ln w="25400">
                <a:solidFill>
                  <a:schemeClr val="lt1"/>
                </a:solidFill>
              </a:ln>
              <a:effectLst/>
              <a:sp3d contourW="25400">
                <a:contourClr>
                  <a:schemeClr val="lt1"/>
                </a:contourClr>
              </a:sp3d>
            </c:spPr>
            <c:extLst>
              <c:ext xmlns:c16="http://schemas.microsoft.com/office/drawing/2014/chart" uri="{C3380CC4-5D6E-409C-BE32-E72D297353CC}">
                <c16:uniqueId val="{0000000B-0939-474D-85E5-93369C543986}"/>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ko-KR"/>
              </a:p>
            </c:txPr>
            <c:dLblPos val="outEnd"/>
            <c:showLegendKey val="0"/>
            <c:showVal val="0"/>
            <c:showCatName val="1"/>
            <c:showSerName val="0"/>
            <c:showPercent val="1"/>
            <c:showBubbleSize val="0"/>
            <c:separator>
</c:separator>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'Monthly Performance'!$A$4:$A$9</c:f>
              <c:strCache>
                <c:ptCount val="6"/>
                <c:pt idx="0">
                  <c:v>강영구</c:v>
                </c:pt>
                <c:pt idx="1">
                  <c:v>장은철</c:v>
                </c:pt>
                <c:pt idx="2">
                  <c:v>허준영</c:v>
                </c:pt>
                <c:pt idx="3">
                  <c:v>박병대</c:v>
                </c:pt>
                <c:pt idx="4">
                  <c:v>최준영</c:v>
                </c:pt>
                <c:pt idx="5">
                  <c:v>정기수</c:v>
                </c:pt>
              </c:strCache>
            </c:strRef>
          </c:cat>
          <c:val>
            <c:numRef>
              <c:f>'Monthly Performance'!$B$4:$B$9</c:f>
              <c:numCache>
                <c:formatCode>_(* #,##0_);_(* \(#,##0\);_(* "-"_);_(@_)</c:formatCode>
                <c:ptCount val="6"/>
                <c:pt idx="0">
                  <c:v>23</c:v>
                </c:pt>
                <c:pt idx="1">
                  <c:v>42</c:v>
                </c:pt>
                <c:pt idx="2">
                  <c:v>31</c:v>
                </c:pt>
                <c:pt idx="3">
                  <c:v>0</c:v>
                </c:pt>
                <c:pt idx="4">
                  <c:v>24</c:v>
                </c:pt>
                <c:pt idx="5">
                  <c:v>37</c:v>
                </c:pt>
              </c:numCache>
            </c:numRef>
          </c:val>
          <c:extLst>
            <c:ext xmlns:c16="http://schemas.microsoft.com/office/drawing/2014/chart" uri="{C3380CC4-5D6E-409C-BE32-E72D297353CC}">
              <c16:uniqueId val="{0000000C-BA50-4A4D-9B22-3EF47DFE2533}"/>
            </c:ext>
          </c:extLst>
        </c:ser>
        <c:dLbls>
          <c:showLegendKey val="0"/>
          <c:showVal val="0"/>
          <c:showCatName val="0"/>
          <c:showSerName val="0"/>
          <c:showPercent val="0"/>
          <c:showBubbleSize val="0"/>
          <c:showLeaderLines val="1"/>
        </c:dLbls>
      </c:pie3DChart>
      <c:spPr>
        <a:noFill/>
        <a:ln>
          <a:noFill/>
        </a:ln>
        <a:effectLst/>
      </c:spPr>
    </c:plotArea>
    <c:legend>
      <c:legendPos val="r"/>
      <c:legendEntry>
        <c:idx val="0"/>
        <c:txPr>
          <a:bodyPr rot="0" spcFirstLastPara="1" vertOverflow="ellipsis" vert="horz" wrap="square" anchor="ctr" anchorCtr="1"/>
          <a:lstStyle/>
          <a:p>
            <a:pPr>
              <a:defRPr sz="1050" b="0" i="0" u="none" strike="noStrike" kern="1200" baseline="0">
                <a:solidFill>
                  <a:schemeClr val="tx1">
                    <a:lumMod val="65000"/>
                    <a:lumOff val="35000"/>
                  </a:schemeClr>
                </a:solidFill>
                <a:latin typeface="+mn-lt"/>
                <a:ea typeface="+mn-ea"/>
                <a:cs typeface="+mn-cs"/>
              </a:defRPr>
            </a:pPr>
            <a:endParaRPr lang="ko-KR"/>
          </a:p>
        </c:txPr>
      </c:legendEntry>
      <c:legendEntry>
        <c:idx val="1"/>
        <c:txPr>
          <a:bodyPr rot="0" spcFirstLastPara="1" vertOverflow="ellipsis" vert="horz" wrap="square" anchor="ctr" anchorCtr="1"/>
          <a:lstStyle/>
          <a:p>
            <a:pPr>
              <a:defRPr sz="1050" b="0" i="0" u="none" strike="noStrike" kern="1200" baseline="0">
                <a:solidFill>
                  <a:schemeClr val="tx1">
                    <a:lumMod val="65000"/>
                    <a:lumOff val="35000"/>
                  </a:schemeClr>
                </a:solidFill>
                <a:latin typeface="+mn-lt"/>
                <a:ea typeface="+mn-ea"/>
                <a:cs typeface="+mn-cs"/>
              </a:defRPr>
            </a:pPr>
            <a:endParaRPr lang="ko-KR"/>
          </a:p>
        </c:txPr>
      </c:legendEntry>
      <c:legendEntry>
        <c:idx val="2"/>
        <c:txPr>
          <a:bodyPr rot="0" spcFirstLastPara="1" vertOverflow="ellipsis" vert="horz" wrap="square" anchor="ctr" anchorCtr="1"/>
          <a:lstStyle/>
          <a:p>
            <a:pPr>
              <a:defRPr sz="1050" b="0" i="0" u="none" strike="noStrike" kern="1200" baseline="0">
                <a:solidFill>
                  <a:schemeClr val="tx1">
                    <a:lumMod val="65000"/>
                    <a:lumOff val="35000"/>
                  </a:schemeClr>
                </a:solidFill>
                <a:latin typeface="+mn-lt"/>
                <a:ea typeface="+mn-ea"/>
                <a:cs typeface="+mn-cs"/>
              </a:defRPr>
            </a:pPr>
            <a:endParaRPr lang="ko-KR"/>
          </a:p>
        </c:txPr>
      </c:legendEntry>
      <c:legendEntry>
        <c:idx val="3"/>
        <c:txPr>
          <a:bodyPr rot="0" spcFirstLastPara="1" vertOverflow="ellipsis" vert="horz" wrap="square" anchor="ctr" anchorCtr="1"/>
          <a:lstStyle/>
          <a:p>
            <a:pPr>
              <a:defRPr sz="1050" b="0" i="0" u="none" strike="noStrike" kern="1200" baseline="0">
                <a:solidFill>
                  <a:schemeClr val="tx1">
                    <a:lumMod val="65000"/>
                    <a:lumOff val="35000"/>
                  </a:schemeClr>
                </a:solidFill>
                <a:latin typeface="+mn-lt"/>
                <a:ea typeface="+mn-ea"/>
                <a:cs typeface="+mn-cs"/>
              </a:defRPr>
            </a:pPr>
            <a:endParaRPr lang="ko-KR"/>
          </a:p>
        </c:txPr>
      </c:legendEntry>
      <c:legendEntry>
        <c:idx val="4"/>
        <c:txPr>
          <a:bodyPr rot="0" spcFirstLastPara="1" vertOverflow="ellipsis" vert="horz" wrap="square" anchor="ctr" anchorCtr="1"/>
          <a:lstStyle/>
          <a:p>
            <a:pPr>
              <a:defRPr sz="1050" b="0" i="0" u="none" strike="noStrike" kern="1200" baseline="0">
                <a:solidFill>
                  <a:schemeClr val="tx1">
                    <a:lumMod val="65000"/>
                    <a:lumOff val="35000"/>
                  </a:schemeClr>
                </a:solidFill>
                <a:latin typeface="+mn-lt"/>
                <a:ea typeface="+mn-ea"/>
                <a:cs typeface="+mn-cs"/>
              </a:defRPr>
            </a:pPr>
            <a:endParaRPr lang="ko-KR"/>
          </a:p>
        </c:txPr>
      </c:legendEntry>
      <c:layout>
        <c:manualLayout>
          <c:xMode val="edge"/>
          <c:yMode val="edge"/>
          <c:x val="0.86347157831388766"/>
          <c:y val="0.16120875066949303"/>
          <c:w val="0.10275278411554688"/>
          <c:h val="0.73128472237925379"/>
        </c:manualLayout>
      </c:layout>
      <c:overlay val="0"/>
      <c:spPr>
        <a:noFill/>
        <a:ln>
          <a:noFill/>
        </a:ln>
        <a:effectLst/>
      </c:spPr>
      <c:txPr>
        <a:bodyPr rot="0" spcFirstLastPara="1" vertOverflow="ellipsis" vert="horz" wrap="square" anchor="ctr" anchorCtr="1"/>
        <a:lstStyle/>
        <a:p>
          <a:pPr>
            <a:defRPr sz="1050" b="0" i="0" u="none" strike="noStrike" kern="1200" baseline="0">
              <a:solidFill>
                <a:schemeClr val="tx1">
                  <a:lumMod val="65000"/>
                  <a:lumOff val="35000"/>
                </a:schemeClr>
              </a:solidFill>
              <a:latin typeface="+mn-lt"/>
              <a:ea typeface="+mn-ea"/>
              <a:cs typeface="+mn-cs"/>
            </a:defRPr>
          </a:pPr>
          <a:endParaRPr lang="ko-KR"/>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tLang="ko-KR" sz="2400" baseline="0"/>
              <a:t>2021 e-board Repair Q'ty CosSave(Kwon)    </a:t>
            </a:r>
            <a:endParaRPr lang="ko-KR" altLang="en-US" sz="2400"/>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ko-KR"/>
        </a:p>
      </c:txPr>
    </c:title>
    <c:autoTitleDeleted val="0"/>
    <c:plotArea>
      <c:layout/>
      <c:barChart>
        <c:barDir val="col"/>
        <c:grouping val="clustered"/>
        <c:varyColors val="0"/>
        <c:ser>
          <c:idx val="2"/>
          <c:order val="1"/>
          <c:tx>
            <c:strRef>
              <c:f>'Yearly Performance'!$D$2:$D$3</c:f>
              <c:strCache>
                <c:ptCount val="2"/>
                <c:pt idx="0">
                  <c:v>Technical Support</c:v>
                </c:pt>
                <c:pt idx="1">
                  <c:v>Cost Save(K\)</c:v>
                </c:pt>
              </c:strCache>
            </c:strRef>
          </c:tx>
          <c:spPr>
            <a:solidFill>
              <a:schemeClr val="accent4">
                <a:lumMod val="60000"/>
                <a:lumOff val="40000"/>
              </a:schemeClr>
            </a:solidFill>
            <a:ln>
              <a:noFill/>
            </a:ln>
            <a:effectLst/>
          </c:spPr>
          <c:invertIfNegative val="0"/>
          <c:dLbls>
            <c:spPr>
              <a:solidFill>
                <a:schemeClr val="accent4">
                  <a:lumMod val="20000"/>
                  <a:lumOff val="80000"/>
                </a:schemeClr>
              </a:solid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ko-KR"/>
              </a:p>
            </c:txPr>
            <c:dLblPos val="inBase"/>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'Yearly Performance'!$A$4:$A$9</c:f>
              <c:strCache>
                <c:ptCount val="6"/>
                <c:pt idx="0">
                  <c:v>강영구</c:v>
                </c:pt>
                <c:pt idx="1">
                  <c:v>장은철</c:v>
                </c:pt>
                <c:pt idx="2">
                  <c:v>허준영</c:v>
                </c:pt>
                <c:pt idx="3">
                  <c:v>박병대</c:v>
                </c:pt>
                <c:pt idx="4">
                  <c:v>최준영</c:v>
                </c:pt>
                <c:pt idx="5">
                  <c:v>정기수</c:v>
                </c:pt>
              </c:strCache>
            </c:strRef>
          </c:cat>
          <c:val>
            <c:numRef>
              <c:f>'Yearly Performance'!$D$4:$D$9</c:f>
              <c:numCache>
                <c:formatCode>_(* #,##0_);_(* \(#,##0\);_(* "-"_);_(@_)</c:formatCode>
                <c:ptCount val="6"/>
                <c:pt idx="0">
                  <c:v>26247</c:v>
                </c:pt>
                <c:pt idx="1">
                  <c:v>186959</c:v>
                </c:pt>
                <c:pt idx="2">
                  <c:v>87859</c:v>
                </c:pt>
                <c:pt idx="3">
                  <c:v>0</c:v>
                </c:pt>
                <c:pt idx="4">
                  <c:v>35881</c:v>
                </c:pt>
                <c:pt idx="5">
                  <c:v>78718</c:v>
                </c:pt>
              </c:numCache>
            </c:numRef>
          </c:val>
          <c:extLst>
            <c:ext xmlns:c16="http://schemas.microsoft.com/office/drawing/2014/chart" uri="{C3380CC4-5D6E-409C-BE32-E72D297353CC}">
              <c16:uniqueId val="{00000000-E54F-4074-850B-E349EE8333AB}"/>
            </c:ext>
          </c:extLst>
        </c:ser>
        <c:dLbls>
          <c:showLegendKey val="0"/>
          <c:showVal val="0"/>
          <c:showCatName val="0"/>
          <c:showSerName val="0"/>
          <c:showPercent val="0"/>
          <c:showBubbleSize val="0"/>
        </c:dLbls>
        <c:gapWidth val="219"/>
        <c:axId val="363535000"/>
        <c:axId val="363534216"/>
      </c:barChart>
      <c:lineChart>
        <c:grouping val="standard"/>
        <c:varyColors val="0"/>
        <c:ser>
          <c:idx val="0"/>
          <c:order val="0"/>
          <c:tx>
            <c:strRef>
              <c:f>'Yearly Performance'!$B$2:$B$3</c:f>
              <c:strCache>
                <c:ptCount val="2"/>
                <c:pt idx="0">
                  <c:v>Technical Support</c:v>
                </c:pt>
                <c:pt idx="1">
                  <c:v>건수</c:v>
                </c:pt>
              </c:strCache>
            </c:strRef>
          </c:tx>
          <c:spPr>
            <a:ln w="28575" cap="rnd">
              <a:noFill/>
              <a:round/>
            </a:ln>
            <a:effectLst/>
          </c:spPr>
          <c:marker>
            <c:symbol val="diamond"/>
            <c:size val="10"/>
            <c:spPr>
              <a:solidFill>
                <a:schemeClr val="accent1"/>
              </a:solidFill>
              <a:ln w="9525">
                <a:solidFill>
                  <a:schemeClr val="accent1"/>
                </a:solidFill>
              </a:ln>
              <a:effectLst/>
            </c:spPr>
          </c:marker>
          <c:dLbls>
            <c:spPr>
              <a:solidFill>
                <a:schemeClr val="accent1">
                  <a:lumMod val="20000"/>
                  <a:lumOff val="80000"/>
                </a:schemeClr>
              </a:solid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accent1">
                        <a:lumMod val="75000"/>
                      </a:schemeClr>
                    </a:solidFill>
                    <a:latin typeface="+mn-lt"/>
                    <a:ea typeface="+mn-ea"/>
                    <a:cs typeface="+mn-cs"/>
                  </a:defRPr>
                </a:pPr>
                <a:endParaRPr lang="ko-KR"/>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'Yearly Performance'!$A$4:$A$9</c:f>
              <c:strCache>
                <c:ptCount val="6"/>
                <c:pt idx="0">
                  <c:v>강영구</c:v>
                </c:pt>
                <c:pt idx="1">
                  <c:v>장은철</c:v>
                </c:pt>
                <c:pt idx="2">
                  <c:v>허준영</c:v>
                </c:pt>
                <c:pt idx="3">
                  <c:v>박병대</c:v>
                </c:pt>
                <c:pt idx="4">
                  <c:v>최준영</c:v>
                </c:pt>
                <c:pt idx="5">
                  <c:v>정기수</c:v>
                </c:pt>
              </c:strCache>
            </c:strRef>
          </c:cat>
          <c:val>
            <c:numRef>
              <c:f>'Yearly Performance'!$B$4:$B$9</c:f>
              <c:numCache>
                <c:formatCode>_(* #,##0_);_(* \(#,##0\);_(* "-"_);_(@_)</c:formatCode>
                <c:ptCount val="6"/>
                <c:pt idx="0">
                  <c:v>53</c:v>
                </c:pt>
                <c:pt idx="1">
                  <c:v>86</c:v>
                </c:pt>
                <c:pt idx="2">
                  <c:v>60</c:v>
                </c:pt>
                <c:pt idx="3">
                  <c:v>0</c:v>
                </c:pt>
                <c:pt idx="4">
                  <c:v>53</c:v>
                </c:pt>
                <c:pt idx="5">
                  <c:v>91</c:v>
                </c:pt>
              </c:numCache>
            </c:numRef>
          </c:val>
          <c:smooth val="0"/>
          <c:extLst>
            <c:ext xmlns:c16="http://schemas.microsoft.com/office/drawing/2014/chart" uri="{C3380CC4-5D6E-409C-BE32-E72D297353CC}">
              <c16:uniqueId val="{00000001-E54F-4074-850B-E349EE8333AB}"/>
            </c:ext>
          </c:extLst>
        </c:ser>
        <c:dLbls>
          <c:showLegendKey val="0"/>
          <c:showVal val="0"/>
          <c:showCatName val="0"/>
          <c:showSerName val="0"/>
          <c:showPercent val="0"/>
          <c:showBubbleSize val="0"/>
        </c:dLbls>
        <c:marker val="1"/>
        <c:smooth val="0"/>
        <c:axId val="405428032"/>
        <c:axId val="363534608"/>
      </c:lineChart>
      <c:catAx>
        <c:axId val="40542803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crossAx val="363534608"/>
        <c:crosses val="autoZero"/>
        <c:auto val="1"/>
        <c:lblAlgn val="ctr"/>
        <c:lblOffset val="100"/>
        <c:noMultiLvlLbl val="0"/>
      </c:catAx>
      <c:valAx>
        <c:axId val="363534608"/>
        <c:scaling>
          <c:orientation val="minMax"/>
        </c:scaling>
        <c:delete val="0"/>
        <c:axPos val="l"/>
        <c:majorGridlines>
          <c:spPr>
            <a:ln w="9525" cap="flat" cmpd="sng" algn="ctr">
              <a:solidFill>
                <a:schemeClr val="tx1">
                  <a:lumMod val="15000"/>
                  <a:lumOff val="85000"/>
                </a:schemeClr>
              </a:solidFill>
              <a:round/>
            </a:ln>
            <a:effectLst/>
          </c:spPr>
        </c:majorGridlines>
        <c:numFmt formatCode="_(* #,##0_);_(* \(#,##0\);_(*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crossAx val="405428032"/>
        <c:crosses val="autoZero"/>
        <c:crossBetween val="between"/>
      </c:valAx>
      <c:valAx>
        <c:axId val="363534216"/>
        <c:scaling>
          <c:orientation val="minMax"/>
        </c:scaling>
        <c:delete val="0"/>
        <c:axPos val="r"/>
        <c:numFmt formatCode="_(* #,##0_);_(* \(#,##0\);_(* &quot;-&quot;_);_(@_)"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crossAx val="363535000"/>
        <c:crosses val="max"/>
        <c:crossBetween val="between"/>
      </c:valAx>
      <c:catAx>
        <c:axId val="363535000"/>
        <c:scaling>
          <c:orientation val="minMax"/>
        </c:scaling>
        <c:delete val="1"/>
        <c:axPos val="b"/>
        <c:numFmt formatCode="General" sourceLinked="1"/>
        <c:majorTickMark val="out"/>
        <c:minorTickMark val="none"/>
        <c:tickLblPos val="nextTo"/>
        <c:crossAx val="363534216"/>
        <c:crosses val="autoZero"/>
        <c:auto val="1"/>
        <c:lblAlgn val="ctr"/>
        <c:lblOffset val="100"/>
        <c:noMultiLvlLbl val="0"/>
      </c:catAx>
      <c:spPr>
        <a:noFill/>
        <a:ln>
          <a:noFill/>
        </a:ln>
        <a:effectLst/>
      </c:spPr>
    </c:plotArea>
    <c:legend>
      <c:legendPos val="b"/>
      <c:legendEntry>
        <c:idx val="0"/>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Entry>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tLang="ko-KR" sz="2000"/>
              <a:t>Technical Support Q'ty Rate</a:t>
            </a:r>
            <a:endParaRPr lang="ko-KR" altLang="en-US" sz="2000"/>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ko-K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tx>
            <c:strRef>
              <c:f>'Yearly Performance'!$B$2:$B$3</c:f>
              <c:strCache>
                <c:ptCount val="2"/>
                <c:pt idx="0">
                  <c:v>Technical Support</c:v>
                </c:pt>
                <c:pt idx="1">
                  <c:v>건수</c:v>
                </c:pt>
              </c:strCache>
            </c:strRef>
          </c:tx>
          <c:dPt>
            <c:idx val="0"/>
            <c:bubble3D val="0"/>
            <c:spPr>
              <a:solidFill>
                <a:schemeClr val="accent1"/>
              </a:solidFill>
              <a:ln w="25400">
                <a:solidFill>
                  <a:schemeClr val="lt1"/>
                </a:solidFill>
              </a:ln>
              <a:effectLst/>
              <a:sp3d contourW="25400">
                <a:contourClr>
                  <a:schemeClr val="lt1"/>
                </a:contourClr>
              </a:sp3d>
            </c:spPr>
            <c:extLst>
              <c:ext xmlns:c16="http://schemas.microsoft.com/office/drawing/2014/chart" uri="{C3380CC4-5D6E-409C-BE32-E72D297353CC}">
                <c16:uniqueId val="{00000001-AB29-4A74-8E3A-18CDB54DCA1F}"/>
              </c:ext>
            </c:extLst>
          </c:dPt>
          <c:dPt>
            <c:idx val="1"/>
            <c:bubble3D val="0"/>
            <c:spPr>
              <a:solidFill>
                <a:schemeClr val="accent2"/>
              </a:solidFill>
              <a:ln w="25400">
                <a:solidFill>
                  <a:schemeClr val="lt1"/>
                </a:solidFill>
              </a:ln>
              <a:effectLst/>
              <a:sp3d contourW="25400">
                <a:contourClr>
                  <a:schemeClr val="lt1"/>
                </a:contourClr>
              </a:sp3d>
            </c:spPr>
            <c:extLst>
              <c:ext xmlns:c16="http://schemas.microsoft.com/office/drawing/2014/chart" uri="{C3380CC4-5D6E-409C-BE32-E72D297353CC}">
                <c16:uniqueId val="{00000003-AB29-4A74-8E3A-18CDB54DCA1F}"/>
              </c:ext>
            </c:extLst>
          </c:dPt>
          <c:dPt>
            <c:idx val="2"/>
            <c:bubble3D val="0"/>
            <c:spPr>
              <a:solidFill>
                <a:schemeClr val="accent3"/>
              </a:solidFill>
              <a:ln w="25400">
                <a:solidFill>
                  <a:schemeClr val="lt1"/>
                </a:solidFill>
              </a:ln>
              <a:effectLst/>
              <a:sp3d contourW="25400">
                <a:contourClr>
                  <a:schemeClr val="lt1"/>
                </a:contourClr>
              </a:sp3d>
            </c:spPr>
            <c:extLst>
              <c:ext xmlns:c16="http://schemas.microsoft.com/office/drawing/2014/chart" uri="{C3380CC4-5D6E-409C-BE32-E72D297353CC}">
                <c16:uniqueId val="{00000005-AB29-4A74-8E3A-18CDB54DCA1F}"/>
              </c:ext>
            </c:extLst>
          </c:dPt>
          <c:dPt>
            <c:idx val="3"/>
            <c:bubble3D val="0"/>
            <c:spPr>
              <a:solidFill>
                <a:schemeClr val="accent4"/>
              </a:solidFill>
              <a:ln w="25400">
                <a:solidFill>
                  <a:schemeClr val="lt1"/>
                </a:solidFill>
              </a:ln>
              <a:effectLst/>
              <a:sp3d contourW="25400">
                <a:contourClr>
                  <a:schemeClr val="lt1"/>
                </a:contourClr>
              </a:sp3d>
            </c:spPr>
            <c:extLst>
              <c:ext xmlns:c16="http://schemas.microsoft.com/office/drawing/2014/chart" uri="{C3380CC4-5D6E-409C-BE32-E72D297353CC}">
                <c16:uniqueId val="{00000007-AB29-4A74-8E3A-18CDB54DCA1F}"/>
              </c:ext>
            </c:extLst>
          </c:dPt>
          <c:dPt>
            <c:idx val="4"/>
            <c:bubble3D val="0"/>
            <c:spPr>
              <a:solidFill>
                <a:schemeClr val="accent5"/>
              </a:solidFill>
              <a:ln w="25400">
                <a:solidFill>
                  <a:schemeClr val="lt1"/>
                </a:solidFill>
              </a:ln>
              <a:effectLst/>
              <a:sp3d contourW="25400">
                <a:contourClr>
                  <a:schemeClr val="lt1"/>
                </a:contourClr>
              </a:sp3d>
            </c:spPr>
            <c:extLst>
              <c:ext xmlns:c16="http://schemas.microsoft.com/office/drawing/2014/chart" uri="{C3380CC4-5D6E-409C-BE32-E72D297353CC}">
                <c16:uniqueId val="{00000009-AB29-4A74-8E3A-18CDB54DCA1F}"/>
              </c:ext>
            </c:extLst>
          </c:dPt>
          <c:dPt>
            <c:idx val="5"/>
            <c:bubble3D val="0"/>
            <c:spPr>
              <a:solidFill>
                <a:schemeClr val="accent6"/>
              </a:solidFill>
              <a:ln w="25400">
                <a:solidFill>
                  <a:schemeClr val="lt1"/>
                </a:solidFill>
              </a:ln>
              <a:effectLst/>
              <a:sp3d contourW="25400">
                <a:contourClr>
                  <a:schemeClr val="lt1"/>
                </a:contourClr>
              </a:sp3d>
            </c:spPr>
            <c:extLst>
              <c:ext xmlns:c16="http://schemas.microsoft.com/office/drawing/2014/chart" uri="{C3380CC4-5D6E-409C-BE32-E72D297353CC}">
                <c16:uniqueId val="{0000000B-5CFC-4A0B-9735-723B076B00EA}"/>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ko-KR"/>
              </a:p>
            </c:txPr>
            <c:dLblPos val="outEnd"/>
            <c:showLegendKey val="0"/>
            <c:showVal val="0"/>
            <c:showCatName val="1"/>
            <c:showSerName val="0"/>
            <c:showPercent val="1"/>
            <c:showBubbleSize val="0"/>
            <c:separator>
</c:separator>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'Yearly Performance'!$A$4:$A$9</c:f>
              <c:strCache>
                <c:ptCount val="6"/>
                <c:pt idx="0">
                  <c:v>강영구</c:v>
                </c:pt>
                <c:pt idx="1">
                  <c:v>장은철</c:v>
                </c:pt>
                <c:pt idx="2">
                  <c:v>허준영</c:v>
                </c:pt>
                <c:pt idx="3">
                  <c:v>박병대</c:v>
                </c:pt>
                <c:pt idx="4">
                  <c:v>최준영</c:v>
                </c:pt>
                <c:pt idx="5">
                  <c:v>정기수</c:v>
                </c:pt>
              </c:strCache>
            </c:strRef>
          </c:cat>
          <c:val>
            <c:numRef>
              <c:f>'Yearly Performance'!$B$4:$B$9</c:f>
              <c:numCache>
                <c:formatCode>_(* #,##0_);_(* \(#,##0\);_(* "-"_);_(@_)</c:formatCode>
                <c:ptCount val="6"/>
                <c:pt idx="0">
                  <c:v>53</c:v>
                </c:pt>
                <c:pt idx="1">
                  <c:v>86</c:v>
                </c:pt>
                <c:pt idx="2">
                  <c:v>60</c:v>
                </c:pt>
                <c:pt idx="3">
                  <c:v>0</c:v>
                </c:pt>
                <c:pt idx="4">
                  <c:v>53</c:v>
                </c:pt>
                <c:pt idx="5">
                  <c:v>91</c:v>
                </c:pt>
              </c:numCache>
            </c:numRef>
          </c:val>
          <c:extLst>
            <c:ext xmlns:c16="http://schemas.microsoft.com/office/drawing/2014/chart" uri="{C3380CC4-5D6E-409C-BE32-E72D297353CC}">
              <c16:uniqueId val="{0000000C-AB29-4A74-8E3A-18CDB54DCA1F}"/>
            </c:ext>
          </c:extLst>
        </c:ser>
        <c:dLbls>
          <c:showLegendKey val="0"/>
          <c:showVal val="0"/>
          <c:showCatName val="0"/>
          <c:showSerName val="0"/>
          <c:showPercent val="0"/>
          <c:showBubbleSize val="0"/>
          <c:showLeaderLines val="1"/>
        </c:dLbls>
      </c:pie3DChart>
      <c:spPr>
        <a:noFill/>
        <a:ln>
          <a:noFill/>
        </a:ln>
        <a:effectLst/>
      </c:spPr>
    </c:plotArea>
    <c:legend>
      <c:legendPos val="r"/>
      <c:legendEntry>
        <c:idx val="0"/>
        <c:txPr>
          <a:bodyPr rot="0" spcFirstLastPara="1" vertOverflow="ellipsis" vert="horz" wrap="square" anchor="ctr" anchorCtr="1"/>
          <a:lstStyle/>
          <a:p>
            <a:pPr>
              <a:defRPr sz="1050" b="0" i="0" u="none" strike="noStrike" kern="1200" baseline="0">
                <a:solidFill>
                  <a:schemeClr val="tx1">
                    <a:lumMod val="65000"/>
                    <a:lumOff val="35000"/>
                  </a:schemeClr>
                </a:solidFill>
                <a:latin typeface="+mn-lt"/>
                <a:ea typeface="+mn-ea"/>
                <a:cs typeface="+mn-cs"/>
              </a:defRPr>
            </a:pPr>
            <a:endParaRPr lang="ko-KR"/>
          </a:p>
        </c:txPr>
      </c:legendEntry>
      <c:legendEntry>
        <c:idx val="1"/>
        <c:txPr>
          <a:bodyPr rot="0" spcFirstLastPara="1" vertOverflow="ellipsis" vert="horz" wrap="square" anchor="ctr" anchorCtr="1"/>
          <a:lstStyle/>
          <a:p>
            <a:pPr>
              <a:defRPr sz="1050" b="0" i="0" u="none" strike="noStrike" kern="1200" baseline="0">
                <a:solidFill>
                  <a:schemeClr val="tx1">
                    <a:lumMod val="65000"/>
                    <a:lumOff val="35000"/>
                  </a:schemeClr>
                </a:solidFill>
                <a:latin typeface="+mn-lt"/>
                <a:ea typeface="+mn-ea"/>
                <a:cs typeface="+mn-cs"/>
              </a:defRPr>
            </a:pPr>
            <a:endParaRPr lang="ko-KR"/>
          </a:p>
        </c:txPr>
      </c:legendEntry>
      <c:legendEntry>
        <c:idx val="2"/>
        <c:txPr>
          <a:bodyPr rot="0" spcFirstLastPara="1" vertOverflow="ellipsis" vert="horz" wrap="square" anchor="ctr" anchorCtr="1"/>
          <a:lstStyle/>
          <a:p>
            <a:pPr>
              <a:defRPr sz="1050" b="0" i="0" u="none" strike="noStrike" kern="1200" baseline="0">
                <a:solidFill>
                  <a:schemeClr val="tx1">
                    <a:lumMod val="65000"/>
                    <a:lumOff val="35000"/>
                  </a:schemeClr>
                </a:solidFill>
                <a:latin typeface="+mn-lt"/>
                <a:ea typeface="+mn-ea"/>
                <a:cs typeface="+mn-cs"/>
              </a:defRPr>
            </a:pPr>
            <a:endParaRPr lang="ko-KR"/>
          </a:p>
        </c:txPr>
      </c:legendEntry>
      <c:legendEntry>
        <c:idx val="3"/>
        <c:txPr>
          <a:bodyPr rot="0" spcFirstLastPara="1" vertOverflow="ellipsis" vert="horz" wrap="square" anchor="ctr" anchorCtr="1"/>
          <a:lstStyle/>
          <a:p>
            <a:pPr>
              <a:defRPr sz="1050" b="0" i="0" u="none" strike="noStrike" kern="1200" baseline="0">
                <a:solidFill>
                  <a:schemeClr val="tx1">
                    <a:lumMod val="65000"/>
                    <a:lumOff val="35000"/>
                  </a:schemeClr>
                </a:solidFill>
                <a:latin typeface="+mn-lt"/>
                <a:ea typeface="+mn-ea"/>
                <a:cs typeface="+mn-cs"/>
              </a:defRPr>
            </a:pPr>
            <a:endParaRPr lang="ko-KR"/>
          </a:p>
        </c:txPr>
      </c:legendEntry>
      <c:legendEntry>
        <c:idx val="4"/>
        <c:txPr>
          <a:bodyPr rot="0" spcFirstLastPara="1" vertOverflow="ellipsis" vert="horz" wrap="square" anchor="ctr" anchorCtr="1"/>
          <a:lstStyle/>
          <a:p>
            <a:pPr>
              <a:defRPr sz="1050" b="0" i="0" u="none" strike="noStrike" kern="1200" baseline="0">
                <a:solidFill>
                  <a:schemeClr val="tx1">
                    <a:lumMod val="65000"/>
                    <a:lumOff val="35000"/>
                  </a:schemeClr>
                </a:solidFill>
                <a:latin typeface="+mn-lt"/>
                <a:ea typeface="+mn-ea"/>
                <a:cs typeface="+mn-cs"/>
              </a:defRPr>
            </a:pPr>
            <a:endParaRPr lang="ko-KR"/>
          </a:p>
        </c:txPr>
      </c:legendEntry>
      <c:layout>
        <c:manualLayout>
          <c:xMode val="edge"/>
          <c:yMode val="edge"/>
          <c:x val="0.86347157831388766"/>
          <c:y val="0.16120875066949303"/>
          <c:w val="0.10275278411554688"/>
          <c:h val="0.73128472237925379"/>
        </c:manualLayout>
      </c:layout>
      <c:overlay val="0"/>
      <c:spPr>
        <a:noFill/>
        <a:ln>
          <a:noFill/>
        </a:ln>
        <a:effectLst/>
      </c:spPr>
      <c:txPr>
        <a:bodyPr rot="0" spcFirstLastPara="1" vertOverflow="ellipsis" vert="horz" wrap="square" anchor="ctr" anchorCtr="1"/>
        <a:lstStyle/>
        <a:p>
          <a:pPr>
            <a:defRPr sz="1050" b="0" i="0" u="none" strike="noStrike" kern="1200" baseline="0">
              <a:solidFill>
                <a:schemeClr val="tx1">
                  <a:lumMod val="65000"/>
                  <a:lumOff val="35000"/>
                </a:schemeClr>
              </a:solidFill>
              <a:latin typeface="+mn-lt"/>
              <a:ea typeface="+mn-ea"/>
              <a:cs typeface="+mn-cs"/>
            </a:defRPr>
          </a:pPr>
          <a:endParaRPr lang="ko-KR"/>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tx1"/>
                </a:solidFill>
                <a:latin typeface="+mj-ea"/>
                <a:ea typeface="+mj-ea"/>
                <a:cs typeface="+mn-cs"/>
              </a:defRPr>
            </a:pPr>
            <a:r>
              <a:rPr lang="en-US" altLang="ko-KR">
                <a:latin typeface="+mj-ea"/>
                <a:ea typeface="+mj-ea"/>
              </a:rPr>
              <a:t>K4 </a:t>
            </a:r>
            <a:r>
              <a:rPr lang="ko-KR" altLang="en-US">
                <a:latin typeface="+mj-ea"/>
                <a:ea typeface="+mj-ea"/>
              </a:rPr>
              <a:t>전자실 자체</a:t>
            </a:r>
            <a:r>
              <a:rPr lang="en-US" altLang="ko-KR">
                <a:latin typeface="+mj-ea"/>
                <a:ea typeface="+mj-ea"/>
              </a:rPr>
              <a:t>/</a:t>
            </a:r>
            <a:r>
              <a:rPr lang="ko-KR" altLang="en-US">
                <a:latin typeface="+mj-ea"/>
                <a:ea typeface="+mj-ea"/>
              </a:rPr>
              <a:t>외주 수리 건수 및 비율</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tx1"/>
              </a:solidFill>
              <a:latin typeface="+mj-ea"/>
              <a:ea typeface="+mj-ea"/>
              <a:cs typeface="+mn-cs"/>
            </a:defRPr>
          </a:pPr>
          <a:endParaRPr lang="ko-KR"/>
        </a:p>
      </c:txPr>
    </c:title>
    <c:autoTitleDeleted val="0"/>
    <c:plotArea>
      <c:layout>
        <c:manualLayout>
          <c:layoutTarget val="inner"/>
          <c:xMode val="edge"/>
          <c:yMode val="edge"/>
          <c:x val="3.1878123987568674E-2"/>
          <c:y val="0.18747728824239879"/>
          <c:w val="0.79662110431879907"/>
          <c:h val="0.74565929737961456"/>
        </c:manualLayout>
      </c:layout>
      <c:barChart>
        <c:barDir val="col"/>
        <c:grouping val="stacked"/>
        <c:varyColors val="0"/>
        <c:ser>
          <c:idx val="0"/>
          <c:order val="0"/>
          <c:tx>
            <c:strRef>
              <c:f>자체.외주수리비율!$A$3</c:f>
              <c:strCache>
                <c:ptCount val="1"/>
                <c:pt idx="0">
                  <c:v>자체수리</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tx1"/>
                    </a:solidFill>
                    <a:latin typeface="+mn-lt"/>
                    <a:ea typeface="+mn-ea"/>
                    <a:cs typeface="+mn-cs"/>
                  </a:defRPr>
                </a:pPr>
                <a:endParaRPr lang="ko-KR"/>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자체.외주수리비율!$B$2:$M$2</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자체.외주수리비율!$B$3:$M$3</c:f>
              <c:numCache>
                <c:formatCode>General</c:formatCode>
                <c:ptCount val="12"/>
                <c:pt idx="0">
                  <c:v>151</c:v>
                </c:pt>
                <c:pt idx="1">
                  <c:v>170</c:v>
                </c:pt>
                <c:pt idx="2">
                  <c:v>12</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0-E937-495C-A27B-F49FEFB48021}"/>
            </c:ext>
          </c:extLst>
        </c:ser>
        <c:ser>
          <c:idx val="1"/>
          <c:order val="1"/>
          <c:tx>
            <c:strRef>
              <c:f>자체.외주수리비율!$A$4</c:f>
              <c:strCache>
                <c:ptCount val="1"/>
                <c:pt idx="0">
                  <c:v>외주수리</c:v>
                </c:pt>
              </c:strCache>
            </c:strRef>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tx1"/>
                    </a:solidFill>
                    <a:latin typeface="+mn-lt"/>
                    <a:ea typeface="+mn-ea"/>
                    <a:cs typeface="+mn-cs"/>
                  </a:defRPr>
                </a:pPr>
                <a:endParaRPr lang="ko-KR"/>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자체.외주수리비율!$B$2:$M$2</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자체.외주수리비율!$B$4:$M$4</c:f>
              <c:numCache>
                <c:formatCode>General</c:formatCode>
                <c:ptCount val="12"/>
                <c:pt idx="0">
                  <c:v>6</c:v>
                </c:pt>
                <c:pt idx="1">
                  <c:v>4</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1-E937-495C-A27B-F49FEFB48021}"/>
            </c:ext>
          </c:extLst>
        </c:ser>
        <c:dLbls>
          <c:showLegendKey val="0"/>
          <c:showVal val="0"/>
          <c:showCatName val="0"/>
          <c:showSerName val="0"/>
          <c:showPercent val="0"/>
          <c:showBubbleSize val="0"/>
        </c:dLbls>
        <c:gapWidth val="55"/>
        <c:overlap val="100"/>
        <c:axId val="363535784"/>
        <c:axId val="363536960"/>
      </c:barChart>
      <c:lineChart>
        <c:grouping val="stacked"/>
        <c:varyColors val="0"/>
        <c:ser>
          <c:idx val="2"/>
          <c:order val="2"/>
          <c:tx>
            <c:strRef>
              <c:f>자체.외주수리비율!$A$6</c:f>
              <c:strCache>
                <c:ptCount val="1"/>
                <c:pt idx="0">
                  <c:v>외주수리율(%)</c:v>
                </c:pt>
              </c:strCache>
            </c:strRef>
          </c:tx>
          <c:spPr>
            <a:ln w="19050" cap="rnd" cmpd="sng" algn="ctr">
              <a:solidFill>
                <a:schemeClr val="accent3"/>
              </a:solidFill>
              <a:prstDash val="solid"/>
              <a:round/>
            </a:ln>
            <a:effectLst/>
          </c:spPr>
          <c:marker>
            <c:symbol val="square"/>
            <c:size val="9"/>
            <c:spPr>
              <a:solidFill>
                <a:schemeClr val="accent3"/>
              </a:solidFill>
              <a:ln w="6350" cap="flat" cmpd="sng" algn="ctr">
                <a:solidFill>
                  <a:schemeClr val="accent3"/>
                </a:solidFill>
                <a:prstDash val="solid"/>
                <a:round/>
              </a:ln>
              <a:effectLst/>
            </c:spPr>
          </c:marker>
          <c:dLbls>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tx1"/>
                    </a:solidFill>
                    <a:latin typeface="+mn-lt"/>
                    <a:ea typeface="+mn-ea"/>
                    <a:cs typeface="+mn-cs"/>
                  </a:defRPr>
                </a:pPr>
                <a:endParaRPr lang="ko-KR"/>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자체.외주수리비율!$B$2:$M$2</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자체.외주수리비율!$B$6:$M$6</c:f>
              <c:numCache>
                <c:formatCode>0.0%</c:formatCode>
                <c:ptCount val="12"/>
                <c:pt idx="0">
                  <c:v>3.8216560509554139E-2</c:v>
                </c:pt>
                <c:pt idx="1">
                  <c:v>2.2988505747126436E-2</c:v>
                </c:pt>
                <c:pt idx="2">
                  <c:v>0</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2-E937-495C-A27B-F49FEFB48021}"/>
            </c:ext>
          </c:extLst>
        </c:ser>
        <c:dLbls>
          <c:showLegendKey val="0"/>
          <c:showVal val="0"/>
          <c:showCatName val="0"/>
          <c:showSerName val="0"/>
          <c:showPercent val="0"/>
          <c:showBubbleSize val="0"/>
        </c:dLbls>
        <c:marker val="1"/>
        <c:smooth val="0"/>
        <c:axId val="363533824"/>
        <c:axId val="363541272"/>
      </c:lineChart>
      <c:catAx>
        <c:axId val="363535784"/>
        <c:scaling>
          <c:orientation val="minMax"/>
        </c:scaling>
        <c:delete val="0"/>
        <c:axPos val="b"/>
        <c:numFmt formatCode="General" sourceLinked="0"/>
        <c:majorTickMark val="none"/>
        <c:minorTickMark val="none"/>
        <c:tickLblPos val="nextTo"/>
        <c:spPr>
          <a:noFill/>
          <a:ln w="6350" cap="flat" cmpd="sng" algn="ctr">
            <a:solidFill>
              <a:schemeClr val="tx1">
                <a:tint val="75000"/>
              </a:schemeClr>
            </a:solidFill>
            <a:prstDash val="solid"/>
            <a:round/>
          </a:ln>
          <a:effectLst/>
        </c:spPr>
        <c:txPr>
          <a:bodyPr rot="-60000000" spcFirstLastPara="1" vertOverflow="ellipsis" vert="horz" wrap="square" anchor="ctr" anchorCtr="1"/>
          <a:lstStyle/>
          <a:p>
            <a:pPr>
              <a:defRPr sz="1000" b="0" i="0" u="none" strike="noStrike" kern="1200" baseline="0">
                <a:solidFill>
                  <a:schemeClr val="tx1"/>
                </a:solidFill>
                <a:latin typeface="+mn-lt"/>
                <a:ea typeface="+mn-ea"/>
                <a:cs typeface="+mn-cs"/>
              </a:defRPr>
            </a:pPr>
            <a:endParaRPr lang="ko-KR"/>
          </a:p>
        </c:txPr>
        <c:crossAx val="363536960"/>
        <c:crosses val="autoZero"/>
        <c:auto val="1"/>
        <c:lblAlgn val="ctr"/>
        <c:lblOffset val="100"/>
        <c:noMultiLvlLbl val="0"/>
      </c:catAx>
      <c:valAx>
        <c:axId val="363536960"/>
        <c:scaling>
          <c:orientation val="minMax"/>
        </c:scaling>
        <c:delete val="0"/>
        <c:axPos val="l"/>
        <c:majorGridlines>
          <c:spPr>
            <a:ln w="6350" cap="flat" cmpd="sng" algn="ctr">
              <a:solidFill>
                <a:schemeClr val="tx1">
                  <a:tint val="75000"/>
                </a:schemeClr>
              </a:solidFill>
              <a:prstDash val="solid"/>
              <a:round/>
            </a:ln>
            <a:effectLst/>
          </c:spPr>
        </c:majorGridlines>
        <c:numFmt formatCode="General" sourceLinked="1"/>
        <c:majorTickMark val="none"/>
        <c:minorTickMark val="none"/>
        <c:tickLblPos val="nextTo"/>
        <c:spPr>
          <a:noFill/>
          <a:ln w="6350" cap="flat" cmpd="sng" algn="ctr">
            <a:solidFill>
              <a:schemeClr val="tx1">
                <a:tint val="75000"/>
              </a:schemeClr>
            </a:solidFill>
            <a:prstDash val="solid"/>
            <a:round/>
          </a:ln>
          <a:effectLst/>
        </c:spPr>
        <c:txPr>
          <a:bodyPr rot="-60000000" spcFirstLastPara="1" vertOverflow="ellipsis" vert="horz" wrap="square" anchor="ctr" anchorCtr="1"/>
          <a:lstStyle/>
          <a:p>
            <a:pPr>
              <a:defRPr sz="1000" b="0" i="0" u="none" strike="noStrike" kern="1200" baseline="0">
                <a:solidFill>
                  <a:schemeClr val="tx1"/>
                </a:solidFill>
                <a:latin typeface="+mn-lt"/>
                <a:ea typeface="+mn-ea"/>
                <a:cs typeface="+mn-cs"/>
              </a:defRPr>
            </a:pPr>
            <a:endParaRPr lang="ko-KR"/>
          </a:p>
        </c:txPr>
        <c:crossAx val="363535784"/>
        <c:crosses val="autoZero"/>
        <c:crossBetween val="between"/>
      </c:valAx>
      <c:valAx>
        <c:axId val="363541272"/>
        <c:scaling>
          <c:orientation val="minMax"/>
        </c:scaling>
        <c:delete val="0"/>
        <c:axPos val="r"/>
        <c:numFmt formatCode="0.0%" sourceLinked="1"/>
        <c:majorTickMark val="out"/>
        <c:minorTickMark val="none"/>
        <c:tickLblPos val="nextTo"/>
        <c:spPr>
          <a:noFill/>
          <a:ln w="6350" cap="flat" cmpd="sng" algn="ctr">
            <a:solidFill>
              <a:schemeClr val="tx1">
                <a:tint val="75000"/>
              </a:schemeClr>
            </a:solidFill>
            <a:prstDash val="solid"/>
            <a:round/>
          </a:ln>
          <a:effectLst/>
        </c:spPr>
        <c:txPr>
          <a:bodyPr rot="-60000000" spcFirstLastPara="1" vertOverflow="ellipsis" vert="horz" wrap="square" anchor="ctr" anchorCtr="1"/>
          <a:lstStyle/>
          <a:p>
            <a:pPr>
              <a:defRPr sz="1000" b="0" i="0" u="none" strike="noStrike" kern="1200" baseline="0">
                <a:solidFill>
                  <a:schemeClr val="tx1"/>
                </a:solidFill>
                <a:latin typeface="+mn-lt"/>
                <a:ea typeface="+mn-ea"/>
                <a:cs typeface="+mn-cs"/>
              </a:defRPr>
            </a:pPr>
            <a:endParaRPr lang="ko-KR"/>
          </a:p>
        </c:txPr>
        <c:crossAx val="363533824"/>
        <c:crosses val="max"/>
        <c:crossBetween val="between"/>
      </c:valAx>
      <c:catAx>
        <c:axId val="363533824"/>
        <c:scaling>
          <c:orientation val="minMax"/>
        </c:scaling>
        <c:delete val="1"/>
        <c:axPos val="b"/>
        <c:numFmt formatCode="General" sourceLinked="1"/>
        <c:majorTickMark val="out"/>
        <c:minorTickMark val="none"/>
        <c:tickLblPos val="nextTo"/>
        <c:crossAx val="363541272"/>
        <c:crosses val="autoZero"/>
        <c:auto val="1"/>
        <c:lblAlgn val="ctr"/>
        <c:lblOffset val="100"/>
        <c:noMultiLvlLbl val="0"/>
      </c:catAx>
      <c:spPr>
        <a:solidFill>
          <a:schemeClr val="bg1"/>
        </a:solidFill>
        <a:ln>
          <a:noFill/>
        </a:ln>
        <a:effectLst/>
      </c:spPr>
    </c:plotArea>
    <c:legend>
      <c:legendPos val="r"/>
      <c:overlay val="0"/>
      <c:spPr>
        <a:noFill/>
        <a:ln>
          <a:noFill/>
        </a:ln>
        <a:effectLst/>
      </c:spPr>
      <c:txPr>
        <a:bodyPr rot="0" spcFirstLastPara="1" vertOverflow="ellipsis" vert="horz" wrap="square" anchor="ctr" anchorCtr="1"/>
        <a:lstStyle/>
        <a:p>
          <a:pPr>
            <a:defRPr sz="1000" b="0" i="0" u="none" strike="noStrike" kern="1200" baseline="0">
              <a:solidFill>
                <a:schemeClr val="tx1"/>
              </a:solidFill>
              <a:latin typeface="+mn-lt"/>
              <a:ea typeface="+mn-ea"/>
              <a:cs typeface="+mn-cs"/>
            </a:defRPr>
          </a:pPr>
          <a:endParaRPr lang="ko-KR"/>
        </a:p>
      </c:txPr>
    </c:legend>
    <c:plotVisOnly val="1"/>
    <c:dispBlanksAs val="gap"/>
    <c:showDLblsOverMax val="0"/>
  </c:chart>
  <c:spPr>
    <a:solidFill>
      <a:schemeClr val="bg1"/>
    </a:solidFill>
    <a:ln w="6350" cap="flat" cmpd="sng" algn="ctr">
      <a:solidFill>
        <a:schemeClr val="tx1">
          <a:tint val="75000"/>
        </a:schemeClr>
      </a:solidFill>
      <a:prstDash val="solid"/>
      <a:round/>
    </a:ln>
    <a:effectLst/>
  </c:spPr>
  <c:txPr>
    <a:bodyPr/>
    <a:lstStyle/>
    <a:p>
      <a:pPr>
        <a:defRPr/>
      </a:pPr>
      <a:endParaRPr lang="ko-KR"/>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ko-KR" altLang="en-US" sz="1800" b="1"/>
              <a:t>외주수리업체별</a:t>
            </a:r>
            <a:r>
              <a:rPr lang="ko-KR" altLang="en-US" sz="1800" b="1" baseline="0"/>
              <a:t> </a:t>
            </a:r>
            <a:r>
              <a:rPr lang="en-US" altLang="ko-KR" sz="1800" b="1" baseline="0"/>
              <a:t>Ratio</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ko-K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solidFill>
                <a:schemeClr val="accent1"/>
              </a:solidFill>
              <a:ln w="25400">
                <a:solidFill>
                  <a:schemeClr val="lt1"/>
                </a:solidFill>
              </a:ln>
              <a:effectLst/>
              <a:sp3d contourW="25400">
                <a:contourClr>
                  <a:schemeClr val="lt1"/>
                </a:contourClr>
              </a:sp3d>
            </c:spPr>
            <c:extLst>
              <c:ext xmlns:c16="http://schemas.microsoft.com/office/drawing/2014/chart" uri="{C3380CC4-5D6E-409C-BE32-E72D297353CC}">
                <c16:uniqueId val="{00000001-473B-4397-8A77-91F4A23B7897}"/>
              </c:ext>
            </c:extLst>
          </c:dPt>
          <c:dPt>
            <c:idx val="1"/>
            <c:bubble3D val="0"/>
            <c:spPr>
              <a:solidFill>
                <a:schemeClr val="accent2"/>
              </a:solidFill>
              <a:ln w="25400">
                <a:solidFill>
                  <a:schemeClr val="lt1"/>
                </a:solidFill>
              </a:ln>
              <a:effectLst/>
              <a:sp3d contourW="25400">
                <a:contourClr>
                  <a:schemeClr val="lt1"/>
                </a:contourClr>
              </a:sp3d>
            </c:spPr>
            <c:extLst>
              <c:ext xmlns:c16="http://schemas.microsoft.com/office/drawing/2014/chart" uri="{C3380CC4-5D6E-409C-BE32-E72D297353CC}">
                <c16:uniqueId val="{00000003-473B-4397-8A77-91F4A23B7897}"/>
              </c:ext>
            </c:extLst>
          </c:dPt>
          <c:dPt>
            <c:idx val="2"/>
            <c:bubble3D val="0"/>
            <c:spPr>
              <a:solidFill>
                <a:schemeClr val="accent3"/>
              </a:solidFill>
              <a:ln w="25400">
                <a:solidFill>
                  <a:schemeClr val="lt1"/>
                </a:solidFill>
              </a:ln>
              <a:effectLst/>
              <a:sp3d contourW="25400">
                <a:contourClr>
                  <a:schemeClr val="lt1"/>
                </a:contourClr>
              </a:sp3d>
            </c:spPr>
            <c:extLst>
              <c:ext xmlns:c16="http://schemas.microsoft.com/office/drawing/2014/chart" uri="{C3380CC4-5D6E-409C-BE32-E72D297353CC}">
                <c16:uniqueId val="{00000005-473B-4397-8A77-91F4A23B7897}"/>
              </c:ext>
            </c:extLst>
          </c:dPt>
          <c:dPt>
            <c:idx val="3"/>
            <c:bubble3D val="0"/>
            <c:spPr>
              <a:solidFill>
                <a:schemeClr val="accent4"/>
              </a:solidFill>
              <a:ln w="25400">
                <a:solidFill>
                  <a:schemeClr val="lt1"/>
                </a:solidFill>
              </a:ln>
              <a:effectLst/>
              <a:sp3d contourW="25400">
                <a:contourClr>
                  <a:schemeClr val="lt1"/>
                </a:contourClr>
              </a:sp3d>
            </c:spPr>
            <c:extLst>
              <c:ext xmlns:c16="http://schemas.microsoft.com/office/drawing/2014/chart" uri="{C3380CC4-5D6E-409C-BE32-E72D297353CC}">
                <c16:uniqueId val="{00000007-473B-4397-8A77-91F4A23B7897}"/>
              </c:ext>
            </c:extLst>
          </c:dPt>
          <c:dPt>
            <c:idx val="4"/>
            <c:bubble3D val="0"/>
            <c:spPr>
              <a:solidFill>
                <a:schemeClr val="accent5"/>
              </a:solidFill>
              <a:ln w="25400">
                <a:solidFill>
                  <a:schemeClr val="lt1"/>
                </a:solidFill>
              </a:ln>
              <a:effectLst/>
              <a:sp3d contourW="25400">
                <a:contourClr>
                  <a:schemeClr val="lt1"/>
                </a:contourClr>
              </a:sp3d>
            </c:spPr>
            <c:extLst>
              <c:ext xmlns:c16="http://schemas.microsoft.com/office/drawing/2014/chart" uri="{C3380CC4-5D6E-409C-BE32-E72D297353CC}">
                <c16:uniqueId val="{00000009-473B-4397-8A77-91F4A23B7897}"/>
              </c:ext>
            </c:extLst>
          </c:dPt>
          <c:dLbls>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tx1">
                        <a:lumMod val="75000"/>
                        <a:lumOff val="25000"/>
                      </a:schemeClr>
                    </a:solidFill>
                    <a:latin typeface="+mn-lt"/>
                    <a:ea typeface="+mn-ea"/>
                    <a:cs typeface="+mn-cs"/>
                  </a:defRPr>
                </a:pPr>
                <a:endParaRPr lang="ko-KR"/>
              </a:p>
            </c:txPr>
            <c:dLblPos val="bestFit"/>
            <c:showLegendKey val="0"/>
            <c:showVal val="1"/>
            <c:showCatName val="1"/>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자체.외주수리비율!$A$30:$A$34</c:f>
              <c:strCache>
                <c:ptCount val="5"/>
                <c:pt idx="0">
                  <c:v>디에이테크</c:v>
                </c:pt>
                <c:pt idx="1">
                  <c:v>큐텍코리아</c:v>
                </c:pt>
                <c:pt idx="2">
                  <c:v>이엔아이</c:v>
                </c:pt>
                <c:pt idx="3">
                  <c:v>인베닉스</c:v>
                </c:pt>
                <c:pt idx="4">
                  <c:v>기타</c:v>
                </c:pt>
              </c:strCache>
            </c:strRef>
          </c:cat>
          <c:val>
            <c:numRef>
              <c:f>자체.외주수리비율!$O$30:$O$34</c:f>
              <c:numCache>
                <c:formatCode>0%</c:formatCode>
                <c:ptCount val="5"/>
                <c:pt idx="0">
                  <c:v>0</c:v>
                </c:pt>
                <c:pt idx="1">
                  <c:v>0.9</c:v>
                </c:pt>
                <c:pt idx="2">
                  <c:v>0</c:v>
                </c:pt>
                <c:pt idx="3">
                  <c:v>0</c:v>
                </c:pt>
                <c:pt idx="4">
                  <c:v>0.1</c:v>
                </c:pt>
              </c:numCache>
            </c:numRef>
          </c:val>
          <c:extLst>
            <c:ext xmlns:c16="http://schemas.microsoft.com/office/drawing/2014/chart" uri="{C3380CC4-5D6E-409C-BE32-E72D297353CC}">
              <c16:uniqueId val="{0000000E-473B-4397-8A77-91F4A23B7897}"/>
            </c:ext>
          </c:extLst>
        </c:ser>
        <c:dLbls>
          <c:showLegendKey val="0"/>
          <c:showVal val="0"/>
          <c:showCatName val="0"/>
          <c:showSerName val="0"/>
          <c:showPercent val="0"/>
          <c:showBubbleSize val="0"/>
          <c:showLeaderLines val="1"/>
        </c:dLbls>
      </c:pie3DChart>
      <c:spPr>
        <a:noFill/>
        <a:ln>
          <a:noFill/>
        </a:ln>
        <a:effectLst/>
      </c:spPr>
    </c:plotArea>
    <c:legend>
      <c:legendPos val="r"/>
      <c:layout>
        <c:manualLayout>
          <c:xMode val="edge"/>
          <c:yMode val="edge"/>
          <c:x val="0.87016283363659874"/>
          <c:y val="0.19228195510097973"/>
          <c:w val="0.11890469023311903"/>
          <c:h val="0.61925170948054997"/>
        </c:manualLayout>
      </c:layout>
      <c:overlay val="0"/>
      <c:spPr>
        <a:noFill/>
        <a:ln>
          <a:noFill/>
        </a:ln>
        <a:effectLst/>
      </c:spPr>
      <c:txPr>
        <a:bodyPr rot="0" spcFirstLastPara="1" vertOverflow="ellipsis" vert="horz" wrap="square" anchor="ctr" anchorCtr="1"/>
        <a:lstStyle/>
        <a:p>
          <a:pPr rtl="0">
            <a:defRPr sz="1200" b="1" i="0" u="none" strike="noStrike" kern="1200" baseline="0">
              <a:solidFill>
                <a:schemeClr val="tx1">
                  <a:lumMod val="65000"/>
                  <a:lumOff val="35000"/>
                </a:schemeClr>
              </a:solidFill>
              <a:latin typeface="+mn-lt"/>
              <a:ea typeface="+mn-ea"/>
              <a:cs typeface="+mn-cs"/>
            </a:defRPr>
          </a:pPr>
          <a:endParaRPr lang="ko-KR"/>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18"/>
    </mc:Choice>
    <mc:Fallback>
      <c:style val="18"/>
    </mc:Fallback>
  </mc:AlternateContent>
  <c:chart>
    <c:title>
      <c:tx>
        <c:rich>
          <a:bodyPr/>
          <a:lstStyle/>
          <a:p>
            <a:pPr>
              <a:defRPr sz="2000" i="1"/>
            </a:pPr>
            <a:r>
              <a:rPr lang="en-US" sz="2200" i="1"/>
              <a:t>Repair Count &amp; Cost Reduction Status</a:t>
            </a:r>
            <a:endParaRPr lang="ko-KR" sz="2200" i="1"/>
          </a:p>
        </c:rich>
      </c:tx>
      <c:layout>
        <c:manualLayout>
          <c:xMode val="edge"/>
          <c:yMode val="edge"/>
          <c:x val="0.1247359028309224"/>
          <c:y val="4.0872596164789325E-2"/>
        </c:manualLayout>
      </c:layout>
      <c:overlay val="0"/>
      <c:spPr>
        <a:solidFill>
          <a:schemeClr val="accent6">
            <a:lumMod val="20000"/>
            <a:lumOff val="80000"/>
          </a:schemeClr>
        </a:solidFill>
      </c:spPr>
    </c:title>
    <c:autoTitleDeleted val="0"/>
    <c:plotArea>
      <c:layout>
        <c:manualLayout>
          <c:layoutTarget val="inner"/>
          <c:xMode val="edge"/>
          <c:yMode val="edge"/>
          <c:x val="0.10983539690807974"/>
          <c:y val="0.20958373017838916"/>
          <c:w val="0.72024167286421592"/>
          <c:h val="0.69972145669291341"/>
        </c:manualLayout>
      </c:layout>
      <c:barChart>
        <c:barDir val="col"/>
        <c:grouping val="clustered"/>
        <c:varyColors val="0"/>
        <c:ser>
          <c:idx val="0"/>
          <c:order val="0"/>
          <c:tx>
            <c:strRef>
              <c:f>Ionizer!$C$4</c:f>
              <c:strCache>
                <c:ptCount val="1"/>
                <c:pt idx="0">
                  <c:v>Repair
Count</c:v>
                </c:pt>
              </c:strCache>
            </c:strRef>
          </c:tx>
          <c:invertIfNegative val="0"/>
          <c:dLbls>
            <c:spPr>
              <a:noFill/>
              <a:ln>
                <a:noFill/>
              </a:ln>
              <a:effectLst/>
            </c:spPr>
            <c:txPr>
              <a:bodyPr/>
              <a:lstStyle/>
              <a:p>
                <a:pPr>
                  <a:defRPr sz="1200" b="1">
                    <a:solidFill>
                      <a:schemeClr val="bg1"/>
                    </a:solidFill>
                  </a:defRPr>
                </a:pPr>
                <a:endParaRPr lang="ko-KR"/>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Ionizer!$B$6:$B$17</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Ionizer!$C$6:$C$17</c:f>
              <c:numCache>
                <c:formatCode>#,##0_ </c:formatCode>
                <c:ptCount val="12"/>
                <c:pt idx="0">
                  <c:v>6</c:v>
                </c:pt>
                <c:pt idx="1">
                  <c:v>23</c:v>
                </c:pt>
                <c:pt idx="2">
                  <c:v>0</c:v>
                </c:pt>
                <c:pt idx="3">
                  <c:v>0</c:v>
                </c:pt>
                <c:pt idx="4">
                  <c:v>0</c:v>
                </c:pt>
                <c:pt idx="5">
                  <c:v>0</c:v>
                </c:pt>
                <c:pt idx="6">
                  <c:v>0</c:v>
                </c:pt>
                <c:pt idx="7">
                  <c:v>0</c:v>
                </c:pt>
                <c:pt idx="8">
                  <c:v>0</c:v>
                </c:pt>
                <c:pt idx="9">
                  <c:v>0</c:v>
                </c:pt>
                <c:pt idx="10">
                  <c:v>0</c:v>
                </c:pt>
                <c:pt idx="11">
                  <c:v>0</c:v>
                </c:pt>
              </c:numCache>
            </c:numRef>
          </c:val>
          <c:extLst>
            <c:ext xmlns:c16="http://schemas.microsoft.com/office/drawing/2014/chart" uri="{C3380CC4-5D6E-409C-BE32-E72D297353CC}">
              <c16:uniqueId val="{00000000-9A53-4D3F-A4DD-11630D8F6802}"/>
            </c:ext>
          </c:extLst>
        </c:ser>
        <c:dLbls>
          <c:showLegendKey val="0"/>
          <c:showVal val="0"/>
          <c:showCatName val="0"/>
          <c:showSerName val="0"/>
          <c:showPercent val="0"/>
          <c:showBubbleSize val="0"/>
        </c:dLbls>
        <c:gapWidth val="59"/>
        <c:axId val="363538920"/>
        <c:axId val="363538528"/>
      </c:barChart>
      <c:lineChart>
        <c:grouping val="standard"/>
        <c:varyColors val="0"/>
        <c:ser>
          <c:idx val="1"/>
          <c:order val="1"/>
          <c:tx>
            <c:strRef>
              <c:f>Ionizer!$D$4:$D$5</c:f>
              <c:strCache>
                <c:ptCount val="2"/>
                <c:pt idx="0">
                  <c:v>Cost Save
(Unit : KWon)</c:v>
                </c:pt>
              </c:strCache>
            </c:strRef>
          </c:tx>
          <c:dLbls>
            <c:dLbl>
              <c:idx val="0"/>
              <c:layout>
                <c:manualLayout>
                  <c:x val="-4.3739653321790993E-2"/>
                  <c:y val="-0.16292716535433072"/>
                </c:manualLayout>
              </c:layout>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9A53-4D3F-A4DD-11630D8F6802}"/>
                </c:ext>
              </c:extLst>
            </c:dLbl>
            <c:dLbl>
              <c:idx val="1"/>
              <c:layout>
                <c:manualLayout>
                  <c:x val="-4.3739653321790993E-2"/>
                  <c:y val="-0.1004271653543307"/>
                </c:manualLayout>
              </c:layout>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9A53-4D3F-A4DD-11630D8F6802}"/>
                </c:ext>
              </c:extLst>
            </c:dLbl>
            <c:dLbl>
              <c:idx val="3"/>
              <c:layout>
                <c:manualLayout>
                  <c:x val="-4.3739653321790993E-2"/>
                  <c:y val="-0.11709383202099745"/>
                </c:manualLayout>
              </c:layout>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9A53-4D3F-A4DD-11630D8F6802}"/>
                </c:ext>
              </c:extLst>
            </c:dLbl>
            <c:dLbl>
              <c:idx val="4"/>
              <c:layout>
                <c:manualLayout>
                  <c:x val="-4.3739653321790993E-2"/>
                  <c:y val="-9.626049868766412E-2"/>
                </c:manualLayout>
              </c:layout>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9A53-4D3F-A4DD-11630D8F6802}"/>
                </c:ext>
              </c:extLst>
            </c:dLbl>
            <c:dLbl>
              <c:idx val="7"/>
              <c:layout>
                <c:manualLayout>
                  <c:x val="-4.3739653321790993E-2"/>
                  <c:y val="-0.15042716535433062"/>
                </c:manualLayout>
              </c:layout>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9A53-4D3F-A4DD-11630D8F6802}"/>
                </c:ext>
              </c:extLst>
            </c:dLbl>
            <c:spPr>
              <a:noFill/>
              <a:ln>
                <a:noFill/>
              </a:ln>
              <a:effectLst/>
            </c:spPr>
            <c:txPr>
              <a:bodyPr/>
              <a:lstStyle/>
              <a:p>
                <a:pPr>
                  <a:defRPr sz="1000" b="1">
                    <a:solidFill>
                      <a:srgbClr val="C00000"/>
                    </a:solidFill>
                  </a:defRPr>
                </a:pPr>
                <a:endParaRPr lang="ko-KR"/>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Ionizer!$B$6:$B$17</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Ionizer!$D$6:$D$17</c:f>
              <c:numCache>
                <c:formatCode>#,##0_ </c:formatCode>
                <c:ptCount val="12"/>
                <c:pt idx="0">
                  <c:v>2390.5</c:v>
                </c:pt>
                <c:pt idx="1">
                  <c:v>7772.5</c:v>
                </c:pt>
                <c:pt idx="2">
                  <c:v>0</c:v>
                </c:pt>
                <c:pt idx="3">
                  <c:v>0</c:v>
                </c:pt>
                <c:pt idx="4">
                  <c:v>0</c:v>
                </c:pt>
                <c:pt idx="5">
                  <c:v>0</c:v>
                </c:pt>
                <c:pt idx="6">
                  <c:v>0</c:v>
                </c:pt>
                <c:pt idx="7">
                  <c:v>0</c:v>
                </c:pt>
                <c:pt idx="8">
                  <c:v>0</c:v>
                </c:pt>
                <c:pt idx="9">
                  <c:v>0</c:v>
                </c:pt>
                <c:pt idx="10">
                  <c:v>0</c:v>
                </c:pt>
                <c:pt idx="11">
                  <c:v>0</c:v>
                </c:pt>
              </c:numCache>
            </c:numRef>
          </c:val>
          <c:smooth val="0"/>
          <c:extLst>
            <c:ext xmlns:c16="http://schemas.microsoft.com/office/drawing/2014/chart" uri="{C3380CC4-5D6E-409C-BE32-E72D297353CC}">
              <c16:uniqueId val="{00000006-9A53-4D3F-A4DD-11630D8F6802}"/>
            </c:ext>
          </c:extLst>
        </c:ser>
        <c:dLbls>
          <c:showLegendKey val="0"/>
          <c:showVal val="0"/>
          <c:showCatName val="0"/>
          <c:showSerName val="0"/>
          <c:showPercent val="0"/>
          <c:showBubbleSize val="0"/>
        </c:dLbls>
        <c:marker val="1"/>
        <c:smooth val="0"/>
        <c:axId val="363537744"/>
        <c:axId val="363538136"/>
      </c:lineChart>
      <c:catAx>
        <c:axId val="363537744"/>
        <c:scaling>
          <c:orientation val="minMax"/>
        </c:scaling>
        <c:delete val="0"/>
        <c:axPos val="b"/>
        <c:numFmt formatCode="General" sourceLinked="0"/>
        <c:majorTickMark val="none"/>
        <c:minorTickMark val="none"/>
        <c:tickLblPos val="nextTo"/>
        <c:txPr>
          <a:bodyPr/>
          <a:lstStyle/>
          <a:p>
            <a:pPr>
              <a:defRPr sz="1080" b="1" baseline="0"/>
            </a:pPr>
            <a:endParaRPr lang="ko-KR"/>
          </a:p>
        </c:txPr>
        <c:crossAx val="363538136"/>
        <c:crosses val="autoZero"/>
        <c:auto val="1"/>
        <c:lblAlgn val="ctr"/>
        <c:lblOffset val="100"/>
        <c:noMultiLvlLbl val="0"/>
      </c:catAx>
      <c:valAx>
        <c:axId val="363538136"/>
        <c:scaling>
          <c:orientation val="minMax"/>
        </c:scaling>
        <c:delete val="0"/>
        <c:axPos val="l"/>
        <c:numFmt formatCode="#,##0_ " sourceLinked="1"/>
        <c:majorTickMark val="none"/>
        <c:minorTickMark val="none"/>
        <c:tickLblPos val="nextTo"/>
        <c:txPr>
          <a:bodyPr/>
          <a:lstStyle/>
          <a:p>
            <a:pPr>
              <a:defRPr sz="1000" b="1" baseline="0">
                <a:solidFill>
                  <a:schemeClr val="accent6">
                    <a:lumMod val="50000"/>
                  </a:schemeClr>
                </a:solidFill>
              </a:defRPr>
            </a:pPr>
            <a:endParaRPr lang="ko-KR"/>
          </a:p>
        </c:txPr>
        <c:crossAx val="363537744"/>
        <c:crosses val="autoZero"/>
        <c:crossBetween val="between"/>
        <c:majorUnit val="100000"/>
      </c:valAx>
      <c:valAx>
        <c:axId val="363538528"/>
        <c:scaling>
          <c:orientation val="minMax"/>
        </c:scaling>
        <c:delete val="0"/>
        <c:axPos val="r"/>
        <c:numFmt formatCode="#,##0_ " sourceLinked="1"/>
        <c:majorTickMark val="out"/>
        <c:minorTickMark val="none"/>
        <c:tickLblPos val="nextTo"/>
        <c:crossAx val="363538920"/>
        <c:crosses val="max"/>
        <c:crossBetween val="between"/>
      </c:valAx>
      <c:catAx>
        <c:axId val="363538920"/>
        <c:scaling>
          <c:orientation val="minMax"/>
        </c:scaling>
        <c:delete val="1"/>
        <c:axPos val="b"/>
        <c:numFmt formatCode="General" sourceLinked="1"/>
        <c:majorTickMark val="out"/>
        <c:minorTickMark val="none"/>
        <c:tickLblPos val="nextTo"/>
        <c:crossAx val="363538528"/>
        <c:crosses val="autoZero"/>
        <c:auto val="1"/>
        <c:lblAlgn val="ctr"/>
        <c:lblOffset val="100"/>
        <c:noMultiLvlLbl val="0"/>
      </c:catAx>
    </c:plotArea>
    <c:legend>
      <c:legendPos val="r"/>
      <c:layout>
        <c:manualLayout>
          <c:xMode val="edge"/>
          <c:yMode val="edge"/>
          <c:x val="0.85593754572940051"/>
          <c:y val="0.45897014435695538"/>
          <c:w val="0.13287824461334263"/>
          <c:h val="0.2111220472440945"/>
        </c:manualLayout>
      </c:layout>
      <c:overlay val="0"/>
      <c:txPr>
        <a:bodyPr/>
        <a:lstStyle/>
        <a:p>
          <a:pPr>
            <a:defRPr sz="800" b="1" baseline="0"/>
          </a:pPr>
          <a:endParaRPr lang="ko-KR"/>
        </a:p>
      </c:txPr>
    </c:legend>
    <c:plotVisOnly val="1"/>
    <c:dispBlanksAs val="gap"/>
    <c:showDLblsOverMax val="0"/>
  </c:chart>
  <c:spPr>
    <a:ln>
      <a:noFill/>
    </a:ln>
  </c:spPr>
  <c:printSettings>
    <c:headerFooter/>
    <c:pageMargins b="0.75000000000000011" l="0.70000000000000007" r="0.70000000000000007" t="0.75000000000000011" header="0.30000000000000004" footer="0.30000000000000004"/>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6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6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6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102">
  <cs:axisTitle>
    <cs:lnRef idx="0"/>
    <cs:fillRef idx="0"/>
    <cs:effectRef idx="0"/>
    <cs:fontRef idx="minor">
      <a:schemeClr val="tx1"/>
    </cs:fontRef>
    <cs:defRPr sz="1000" b="1" kern="1200"/>
  </cs:axisTitle>
  <cs:categoryAxis>
    <cs:lnRef idx="1">
      <a:schemeClr val="tx1">
        <a:tint val="75000"/>
      </a:schemeClr>
    </cs:lnRef>
    <cs:fillRef idx="0"/>
    <cs:effectRef idx="0"/>
    <cs:fontRef idx="minor">
      <a:schemeClr val="tx1"/>
    </cs:fontRef>
    <cs:spPr>
      <a:ln>
        <a:round/>
      </a:ln>
    </cs:spPr>
    <cs:defRPr sz="1000" kern="1200"/>
  </cs:categoryAxis>
  <cs:chartArea mods="allowNoFillOverride allowNoLineOverride">
    <cs:lnRef idx="1">
      <a:schemeClr val="tx1">
        <a:tint val="75000"/>
      </a:schemeClr>
    </cs:lnRef>
    <cs:fillRef idx="1">
      <a:schemeClr val="bg1"/>
    </cs:fillRef>
    <cs:effectRef idx="0"/>
    <cs:fontRef idx="minor">
      <a:schemeClr val="tx1"/>
    </cs:fontRef>
    <cs:spPr>
      <a:ln>
        <a:round/>
      </a:ln>
    </cs:spPr>
    <cs:defRPr sz="1000" kern="1200"/>
  </cs:chartArea>
  <cs:dataLabel>
    <cs:lnRef idx="0"/>
    <cs:fillRef idx="0"/>
    <cs:effectRef idx="0"/>
    <cs:fontRef idx="minor">
      <a:schemeClr val="tx1"/>
    </cs:fontRef>
    <cs:defRPr sz="1000" kern="1200"/>
  </cs:dataLabel>
  <cs:dataLabelCallout>
    <cs:lnRef idx="0"/>
    <cs:fillRef idx="0"/>
    <cs:effectRef idx="0"/>
    <cs:fontRef idx="minor">
      <a:schemeClr val="dk1"/>
    </cs:fontRef>
    <cs:spPr>
      <a:solidFill>
        <a:schemeClr val="lt1"/>
      </a:solidFill>
      <a:ln>
        <a:solidFill>
          <a:schemeClr val="dk1">
            <a:lumMod val="65000"/>
            <a:lumOff val="35000"/>
          </a:schemeClr>
        </a:solidFill>
      </a:ln>
    </cs:spPr>
    <cs:defRPr sz="1000" kern="1200"/>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1">
      <cs:styleClr val="auto"/>
    </cs:lnRef>
    <cs:lineWidthScale>3</cs:lineWidthScale>
    <cs:fillRef idx="0"/>
    <cs:effectRef idx="0"/>
    <cs:fontRef idx="minor">
      <a:schemeClr val="tx1"/>
    </cs:fontRef>
    <cs:spPr>
      <a:ln cap="rnd">
        <a:round/>
      </a:ln>
    </cs:spPr>
  </cs:dataPointLine>
  <cs:dataPointMarker>
    <cs:lnRef idx="1">
      <cs:styleClr val="auto"/>
    </cs:lnRef>
    <cs:fillRef idx="1">
      <cs:styleClr val="auto"/>
    </cs:fillRef>
    <cs:effectRef idx="0"/>
    <cs:fontRef idx="minor">
      <a:schemeClr val="tx1"/>
    </cs:fontRef>
    <cs:spPr>
      <a:ln>
        <a:round/>
      </a:ln>
    </cs:spPr>
  </cs:dataPointMarker>
  <cs:dataPointMarkerLayout/>
  <cs:dataPointWireframe>
    <cs:lnRef idx="1">
      <cs:styleClr val="auto"/>
    </cs:lnRef>
    <cs:fillRef idx="0"/>
    <cs:effectRef idx="0"/>
    <cs:fontRef idx="minor">
      <a:schemeClr val="tx1"/>
    </cs:fontRef>
    <cs:spPr>
      <a:ln>
        <a:round/>
      </a:ln>
    </cs:spPr>
  </cs:dataPointWireframe>
  <cs:dataTable>
    <cs:lnRef idx="1">
      <a:schemeClr val="tx1">
        <a:tint val="75000"/>
      </a:schemeClr>
    </cs:lnRef>
    <cs:fillRef idx="0"/>
    <cs:effectRef idx="0"/>
    <cs:fontRef idx="minor">
      <a:schemeClr val="tx1"/>
    </cs:fontRef>
    <cs:spPr>
      <a:ln>
        <a:round/>
      </a:ln>
    </cs:spPr>
    <cs:defRPr sz="1000" kern="1200"/>
  </cs:dataTable>
  <cs:downBar>
    <cs:lnRef idx="1">
      <a:schemeClr val="tx1"/>
    </cs:lnRef>
    <cs:fillRef idx="1">
      <a:schemeClr val="dk1">
        <a:tint val="95000"/>
      </a:schemeClr>
    </cs:fillRef>
    <cs:effectRef idx="0"/>
    <cs:fontRef idx="minor">
      <a:schemeClr val="tx1"/>
    </cs:fontRef>
    <cs:spPr>
      <a:ln>
        <a:round/>
      </a:ln>
    </cs:spPr>
  </cs:downBar>
  <cs:dropLine>
    <cs:lnRef idx="1">
      <a:schemeClr val="tx1"/>
    </cs:lnRef>
    <cs:fillRef idx="0"/>
    <cs:effectRef idx="0"/>
    <cs:fontRef idx="minor">
      <a:schemeClr val="tx1"/>
    </cs:fontRef>
    <cs:spPr>
      <a:ln>
        <a:round/>
      </a:ln>
    </cs:spPr>
  </cs:dropLine>
  <cs:errorBar>
    <cs:lnRef idx="1">
      <a:schemeClr val="tx1"/>
    </cs:lnRef>
    <cs:fillRef idx="1">
      <a:schemeClr val="tx1"/>
    </cs:fillRef>
    <cs:effectRef idx="0"/>
    <cs:fontRef idx="minor">
      <a:schemeClr val="tx1"/>
    </cs:fontRef>
    <cs:spPr>
      <a:ln>
        <a:round/>
      </a:ln>
    </cs:spPr>
  </cs:errorBar>
  <cs:floor>
    <cs:lnRef idx="1">
      <a:schemeClr val="tx1">
        <a:tint val="75000"/>
      </a:schemeClr>
    </cs:lnRef>
    <cs:fillRef idx="0"/>
    <cs:effectRef idx="0"/>
    <cs:fontRef idx="minor">
      <a:schemeClr val="tx1"/>
    </cs:fontRef>
    <cs:spPr>
      <a:ln>
        <a:round/>
      </a:ln>
    </cs:spPr>
  </cs:floor>
  <cs:gridlineMajor>
    <cs:lnRef idx="1">
      <a:schemeClr val="tx1">
        <a:tint val="75000"/>
      </a:schemeClr>
    </cs:lnRef>
    <cs:fillRef idx="0"/>
    <cs:effectRef idx="0"/>
    <cs:fontRef idx="minor">
      <a:schemeClr val="tx1"/>
    </cs:fontRef>
    <cs:spPr>
      <a:ln>
        <a:round/>
      </a:ln>
    </cs:spPr>
  </cs:gridlineMajor>
  <cs:gridlineMinor>
    <cs:lnRef idx="1">
      <a:schemeClr val="tx1">
        <a:tint val="50000"/>
      </a:schemeClr>
    </cs:lnRef>
    <cs:fillRef idx="0"/>
    <cs:effectRef idx="0"/>
    <cs:fontRef idx="minor">
      <a:schemeClr val="tx1"/>
    </cs:fontRef>
    <cs:spPr>
      <a:ln>
        <a:round/>
      </a:ln>
    </cs:spPr>
  </cs:gridlineMinor>
  <cs:hiLoLine>
    <cs:lnRef idx="1">
      <a:schemeClr val="tx1"/>
    </cs:lnRef>
    <cs:fillRef idx="0"/>
    <cs:effectRef idx="0"/>
    <cs:fontRef idx="minor">
      <a:schemeClr val="tx1"/>
    </cs:fontRef>
    <cs:spPr>
      <a:ln>
        <a:round/>
      </a:ln>
    </cs:spPr>
  </cs:hiLoLine>
  <cs:leaderLine>
    <cs:lnRef idx="1">
      <a:schemeClr val="tx1"/>
    </cs:lnRef>
    <cs:fillRef idx="0"/>
    <cs:effectRef idx="0"/>
    <cs:fontRef idx="minor">
      <a:schemeClr val="tx1"/>
    </cs:fontRef>
    <cs:spPr>
      <a:ln>
        <a:round/>
      </a:ln>
    </cs:spPr>
  </cs:leaderLine>
  <cs:legend>
    <cs:lnRef idx="0"/>
    <cs:fillRef idx="0"/>
    <cs:effectRef idx="0"/>
    <cs:fontRef idx="minor">
      <a:schemeClr val="tx1"/>
    </cs:fontRef>
    <cs:defRPr sz="1000" kern="1200"/>
  </cs:legend>
  <cs:plotArea mods="allowNoFillOverride allowNoLineOverride">
    <cs:lnRef idx="0"/>
    <cs:fillRef idx="1">
      <a:schemeClr val="bg1"/>
    </cs:fillRef>
    <cs:effectRef idx="0"/>
    <cs:fontRef idx="minor">
      <a:schemeClr val="tx1"/>
    </cs:fontRef>
  </cs:plotArea>
  <cs:plotArea3D>
    <cs:lnRef idx="0"/>
    <cs:fillRef idx="0"/>
    <cs:effectRef idx="0"/>
    <cs:fontRef idx="minor">
      <a:schemeClr val="tx1"/>
    </cs:fontRef>
  </cs:plotArea3D>
  <cs:seriesAxis>
    <cs:lnRef idx="1">
      <a:schemeClr val="tx1">
        <a:tint val="75000"/>
      </a:schemeClr>
    </cs:lnRef>
    <cs:fillRef idx="0"/>
    <cs:effectRef idx="0"/>
    <cs:fontRef idx="minor">
      <a:schemeClr val="tx1"/>
    </cs:fontRef>
    <cs:spPr>
      <a:ln>
        <a:round/>
      </a:ln>
    </cs:spPr>
    <cs:defRPr sz="1000" kern="1200"/>
  </cs:seriesAxis>
  <cs:seriesLine>
    <cs:lnRef idx="1">
      <a:schemeClr val="tx1"/>
    </cs:lnRef>
    <cs:fillRef idx="0"/>
    <cs:effectRef idx="0"/>
    <cs:fontRef idx="minor">
      <a:schemeClr val="tx1"/>
    </cs:fontRef>
    <cs:spPr>
      <a:ln>
        <a:round/>
      </a:ln>
    </cs:spPr>
  </cs:seriesLine>
  <cs:title>
    <cs:lnRef idx="0"/>
    <cs:fillRef idx="0"/>
    <cs:effectRef idx="0"/>
    <cs:fontRef idx="minor">
      <a:schemeClr val="tx1"/>
    </cs:fontRef>
    <cs:defRPr sz="1800" b="1" kern="1200"/>
  </cs:title>
  <cs:trendline>
    <cs:lnRef idx="1">
      <a:schemeClr val="tx1"/>
    </cs:lnRef>
    <cs:fillRef idx="0"/>
    <cs:effectRef idx="0"/>
    <cs:fontRef idx="minor">
      <a:schemeClr val="tx1"/>
    </cs:fontRef>
    <cs:spPr>
      <a:ln cap="rnd">
        <a:round/>
      </a:ln>
    </cs:spPr>
  </cs:trendline>
  <cs:trendlineLabel>
    <cs:lnRef idx="0"/>
    <cs:fillRef idx="0"/>
    <cs:effectRef idx="0"/>
    <cs:fontRef idx="minor">
      <a:schemeClr val="tx1"/>
    </cs:fontRef>
    <cs:defRPr sz="1000" kern="1200"/>
  </cs:trendlineLabel>
  <cs:upBar>
    <cs:lnRef idx="1">
      <a:schemeClr val="tx1"/>
    </cs:lnRef>
    <cs:fillRef idx="1">
      <a:schemeClr val="dk1">
        <a:tint val="5000"/>
      </a:schemeClr>
    </cs:fillRef>
    <cs:effectRef idx="0"/>
    <cs:fontRef idx="minor">
      <a:schemeClr val="tx1"/>
    </cs:fontRef>
    <cs:spPr>
      <a:ln>
        <a:round/>
      </a:ln>
    </cs:spPr>
  </cs:upBar>
  <cs:valueAxis>
    <cs:lnRef idx="1">
      <a:schemeClr val="tx1">
        <a:tint val="75000"/>
      </a:schemeClr>
    </cs:lnRef>
    <cs:fillRef idx="0"/>
    <cs:effectRef idx="0"/>
    <cs:fontRef idx="minor">
      <a:schemeClr val="tx1"/>
    </cs:fontRef>
    <cs:spPr>
      <a:ln>
        <a:round/>
      </a:ln>
    </cs:spPr>
    <cs:defRPr sz="1000" kern="1200"/>
  </cs:valueAxis>
  <cs:wall>
    <cs:lnRef idx="0"/>
    <cs:fillRef idx="0"/>
    <cs:effectRef idx="0"/>
    <cs:fontRef idx="minor">
      <a:schemeClr val="tx1"/>
    </cs:fontRef>
  </cs:wall>
</cs:chartStyle>
</file>

<file path=xl/charts/style11.xml><?xml version="1.0" encoding="utf-8"?>
<cs:chartStyle xmlns:cs="http://schemas.microsoft.com/office/drawing/2012/chartStyle" xmlns:a="http://schemas.openxmlformats.org/drawingml/2006/main" id="26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2" Type="http://schemas.openxmlformats.org/officeDocument/2006/relationships/chart" Target="../charts/chart5.xml"/><Relationship Id="rId1" Type="http://schemas.openxmlformats.org/officeDocument/2006/relationships/chart" Target="../charts/chart4.xml"/></Relationships>
</file>

<file path=xl/drawings/_rels/drawing3.xml.rels><?xml version="1.0" encoding="UTF-8" standalone="yes"?>
<Relationships xmlns="http://schemas.openxmlformats.org/package/2006/relationships"><Relationship Id="rId2" Type="http://schemas.openxmlformats.org/officeDocument/2006/relationships/chart" Target="../charts/chart7.xml"/><Relationship Id="rId1" Type="http://schemas.openxmlformats.org/officeDocument/2006/relationships/chart" Target="../charts/chart6.xml"/></Relationships>
</file>

<file path=xl/drawings/_rels/drawing4.xml.rels><?xml version="1.0" encoding="UTF-8" standalone="yes"?>
<Relationships xmlns="http://schemas.openxmlformats.org/package/2006/relationships"><Relationship Id="rId2" Type="http://schemas.openxmlformats.org/officeDocument/2006/relationships/chart" Target="../charts/chart9.xml"/><Relationship Id="rId1" Type="http://schemas.openxmlformats.org/officeDocument/2006/relationships/chart" Target="../charts/chart8.xml"/></Relationships>
</file>

<file path=xl/drawings/_rels/drawing5.xml.rels><?xml version="1.0" encoding="UTF-8" standalone="yes"?>
<Relationships xmlns="http://schemas.openxmlformats.org/package/2006/relationships"><Relationship Id="rId2" Type="http://schemas.openxmlformats.org/officeDocument/2006/relationships/chart" Target="../charts/chart11.xml"/><Relationship Id="rId1" Type="http://schemas.openxmlformats.org/officeDocument/2006/relationships/chart" Target="../charts/chart10.xml"/></Relationships>
</file>

<file path=xl/drawings/_rels/drawing6.xml.rels><?xml version="1.0" encoding="UTF-8" standalone="yes"?>
<Relationships xmlns="http://schemas.openxmlformats.org/package/2006/relationships"><Relationship Id="rId1" Type="http://schemas.openxmlformats.org/officeDocument/2006/relationships/chart" Target="../charts/chart12.xml"/></Relationships>
</file>

<file path=xl/drawings/drawing1.xml><?xml version="1.0" encoding="utf-8"?>
<xdr:wsDr xmlns:xdr="http://schemas.openxmlformats.org/drawingml/2006/spreadsheetDrawing" xmlns:a="http://schemas.openxmlformats.org/drawingml/2006/main">
  <xdr:twoCellAnchor>
    <xdr:from>
      <xdr:col>1</xdr:col>
      <xdr:colOff>56029</xdr:colOff>
      <xdr:row>21</xdr:row>
      <xdr:rowOff>40340</xdr:rowOff>
    </xdr:from>
    <xdr:to>
      <xdr:col>18</xdr:col>
      <xdr:colOff>35298</xdr:colOff>
      <xdr:row>43</xdr:row>
      <xdr:rowOff>123264</xdr:rowOff>
    </xdr:to>
    <xdr:graphicFrame macro="">
      <xdr:nvGraphicFramePr>
        <xdr:cNvPr id="2" name="차트 1">
          <a:extLst>
            <a:ext uri="{FF2B5EF4-FFF2-40B4-BE49-F238E27FC236}">
              <a16:creationId xmlns:a16="http://schemas.microsoft.com/office/drawing/2014/main" id="{916CABBE-757B-44CF-85B2-50AB32E9E17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268941</xdr:colOff>
      <xdr:row>44</xdr:row>
      <xdr:rowOff>17929</xdr:rowOff>
    </xdr:from>
    <xdr:to>
      <xdr:col>8</xdr:col>
      <xdr:colOff>347382</xdr:colOff>
      <xdr:row>65</xdr:row>
      <xdr:rowOff>156882</xdr:rowOff>
    </xdr:to>
    <xdr:graphicFrame macro="">
      <xdr:nvGraphicFramePr>
        <xdr:cNvPr id="3" name="차트 2">
          <a:extLst>
            <a:ext uri="{FF2B5EF4-FFF2-40B4-BE49-F238E27FC236}">
              <a16:creationId xmlns:a16="http://schemas.microsoft.com/office/drawing/2014/main" id="{5DF41EC0-6A51-4198-8875-2B7ACED94D4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8</xdr:col>
      <xdr:colOff>437029</xdr:colOff>
      <xdr:row>44</xdr:row>
      <xdr:rowOff>22411</xdr:rowOff>
    </xdr:from>
    <xdr:to>
      <xdr:col>17</xdr:col>
      <xdr:colOff>773206</xdr:colOff>
      <xdr:row>65</xdr:row>
      <xdr:rowOff>161364</xdr:rowOff>
    </xdr:to>
    <xdr:graphicFrame macro="">
      <xdr:nvGraphicFramePr>
        <xdr:cNvPr id="4" name="차트 3">
          <a:extLst>
            <a:ext uri="{FF2B5EF4-FFF2-40B4-BE49-F238E27FC236}">
              <a16:creationId xmlns:a16="http://schemas.microsoft.com/office/drawing/2014/main" id="{748312C4-7517-402F-81C4-4C4288478B5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25</xdr:row>
      <xdr:rowOff>24848</xdr:rowOff>
    </xdr:from>
    <xdr:to>
      <xdr:col>9</xdr:col>
      <xdr:colOff>19050</xdr:colOff>
      <xdr:row>38</xdr:row>
      <xdr:rowOff>1241</xdr:rowOff>
    </xdr:to>
    <xdr:graphicFrame macro="">
      <xdr:nvGraphicFramePr>
        <xdr:cNvPr id="2" name="차트 1">
          <a:extLst>
            <a:ext uri="{FF2B5EF4-FFF2-40B4-BE49-F238E27FC236}">
              <a16:creationId xmlns:a16="http://schemas.microsoft.com/office/drawing/2014/main" id="{B4F9B48C-39F1-4E9F-99D6-C642AD65D51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11</xdr:row>
      <xdr:rowOff>53006</xdr:rowOff>
    </xdr:from>
    <xdr:to>
      <xdr:col>9</xdr:col>
      <xdr:colOff>9525</xdr:colOff>
      <xdr:row>25</xdr:row>
      <xdr:rowOff>57979</xdr:rowOff>
    </xdr:to>
    <xdr:graphicFrame macro="">
      <xdr:nvGraphicFramePr>
        <xdr:cNvPr id="3" name="차트 2">
          <a:extLst>
            <a:ext uri="{FF2B5EF4-FFF2-40B4-BE49-F238E27FC236}">
              <a16:creationId xmlns:a16="http://schemas.microsoft.com/office/drawing/2014/main" id="{1D0B4113-83EB-4722-B3AD-698B8E7BBD3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10</xdr:row>
      <xdr:rowOff>9524</xdr:rowOff>
    </xdr:from>
    <xdr:to>
      <xdr:col>8</xdr:col>
      <xdr:colOff>28574</xdr:colOff>
      <xdr:row>24</xdr:row>
      <xdr:rowOff>0</xdr:rowOff>
    </xdr:to>
    <xdr:graphicFrame macro="">
      <xdr:nvGraphicFramePr>
        <xdr:cNvPr id="2" name="차트 1">
          <a:extLst>
            <a:ext uri="{FF2B5EF4-FFF2-40B4-BE49-F238E27FC236}">
              <a16:creationId xmlns:a16="http://schemas.microsoft.com/office/drawing/2014/main" id="{4FA9C5D5-ED88-442D-9072-A7B3C483576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24</xdr:row>
      <xdr:rowOff>1241</xdr:rowOff>
    </xdr:from>
    <xdr:to>
      <xdr:col>8</xdr:col>
      <xdr:colOff>28575</xdr:colOff>
      <xdr:row>37</xdr:row>
      <xdr:rowOff>10767</xdr:rowOff>
    </xdr:to>
    <xdr:graphicFrame macro="">
      <xdr:nvGraphicFramePr>
        <xdr:cNvPr id="3" name="차트 2">
          <a:extLst>
            <a:ext uri="{FF2B5EF4-FFF2-40B4-BE49-F238E27FC236}">
              <a16:creationId xmlns:a16="http://schemas.microsoft.com/office/drawing/2014/main" id="{77F0893C-176C-4AC5-84EF-FC0BB4BE82C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10</xdr:row>
      <xdr:rowOff>1242</xdr:rowOff>
    </xdr:from>
    <xdr:to>
      <xdr:col>8</xdr:col>
      <xdr:colOff>28574</xdr:colOff>
      <xdr:row>23</xdr:row>
      <xdr:rowOff>198784</xdr:rowOff>
    </xdr:to>
    <xdr:graphicFrame macro="">
      <xdr:nvGraphicFramePr>
        <xdr:cNvPr id="2" name="차트 1">
          <a:extLst>
            <a:ext uri="{FF2B5EF4-FFF2-40B4-BE49-F238E27FC236}">
              <a16:creationId xmlns:a16="http://schemas.microsoft.com/office/drawing/2014/main" id="{3EC90885-FE88-4C8B-96E0-10248E7E15E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24</xdr:row>
      <xdr:rowOff>1241</xdr:rowOff>
    </xdr:from>
    <xdr:to>
      <xdr:col>8</xdr:col>
      <xdr:colOff>28575</xdr:colOff>
      <xdr:row>37</xdr:row>
      <xdr:rowOff>10767</xdr:rowOff>
    </xdr:to>
    <xdr:graphicFrame macro="">
      <xdr:nvGraphicFramePr>
        <xdr:cNvPr id="3" name="차트 2">
          <a:extLst>
            <a:ext uri="{FF2B5EF4-FFF2-40B4-BE49-F238E27FC236}">
              <a16:creationId xmlns:a16="http://schemas.microsoft.com/office/drawing/2014/main" id="{B6C080C9-CF5C-4C14-9980-7D1ADE40A37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0</xdr:col>
      <xdr:colOff>19050</xdr:colOff>
      <xdr:row>7</xdr:row>
      <xdr:rowOff>157162</xdr:rowOff>
    </xdr:from>
    <xdr:to>
      <xdr:col>14</xdr:col>
      <xdr:colOff>600075</xdr:colOff>
      <xdr:row>25</xdr:row>
      <xdr:rowOff>133350</xdr:rowOff>
    </xdr:to>
    <xdr:graphicFrame macro="">
      <xdr:nvGraphicFramePr>
        <xdr:cNvPr id="2" name="차트 1">
          <a:extLst>
            <a:ext uri="{FF2B5EF4-FFF2-40B4-BE49-F238E27FC236}">
              <a16:creationId xmlns:a16="http://schemas.microsoft.com/office/drawing/2014/main" id="{80673582-1028-4295-AA49-4EFA1646987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35</xdr:row>
      <xdr:rowOff>85164</xdr:rowOff>
    </xdr:from>
    <xdr:to>
      <xdr:col>15</xdr:col>
      <xdr:colOff>0</xdr:colOff>
      <xdr:row>54</xdr:row>
      <xdr:rowOff>67234</xdr:rowOff>
    </xdr:to>
    <xdr:graphicFrame macro="">
      <xdr:nvGraphicFramePr>
        <xdr:cNvPr id="3" name="차트 2">
          <a:extLst>
            <a:ext uri="{FF2B5EF4-FFF2-40B4-BE49-F238E27FC236}">
              <a16:creationId xmlns:a16="http://schemas.microsoft.com/office/drawing/2014/main" id="{B3D05A1D-A9C4-4BF6-A1FD-E5BAC6BFD92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4</xdr:col>
      <xdr:colOff>100854</xdr:colOff>
      <xdr:row>2</xdr:row>
      <xdr:rowOff>36981</xdr:rowOff>
    </xdr:from>
    <xdr:to>
      <xdr:col>13</xdr:col>
      <xdr:colOff>352426</xdr:colOff>
      <xdr:row>20</xdr:row>
      <xdr:rowOff>76200</xdr:rowOff>
    </xdr:to>
    <xdr:graphicFrame macro="">
      <xdr:nvGraphicFramePr>
        <xdr:cNvPr id="2" name="차트 1">
          <a:extLst>
            <a:ext uri="{FF2B5EF4-FFF2-40B4-BE49-F238E27FC236}">
              <a16:creationId xmlns:a16="http://schemas.microsoft.com/office/drawing/2014/main" id="{CA196BAF-6133-48AA-8701-2CD59FC6B94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AE363"/>
  <sheetViews>
    <sheetView tabSelected="1" zoomScaleNormal="100" workbookViewId="0">
      <pane ySplit="1" topLeftCell="A107" activePane="bottomLeft" state="frozen"/>
      <selection activeCell="N1" sqref="N1"/>
      <selection pane="bottomLeft" activeCell="A99" sqref="A99:XFD99"/>
    </sheetView>
  </sheetViews>
  <sheetFormatPr defaultRowHeight="16.5"/>
  <cols>
    <col min="1" max="1" width="6.125" style="186" customWidth="1"/>
    <col min="2" max="2" width="5.625" style="188" customWidth="1"/>
    <col min="3" max="3" width="6.875" customWidth="1"/>
    <col min="4" max="4" width="9" customWidth="1"/>
    <col min="5" max="5" width="9.625" customWidth="1"/>
    <col min="6" max="6" width="9.5" customWidth="1"/>
    <col min="7" max="7" width="7.875" customWidth="1"/>
    <col min="8" max="8" width="10.125" customWidth="1"/>
    <col min="9" max="9" width="10.75" style="193" customWidth="1"/>
    <col min="10" max="11" width="6.875" customWidth="1"/>
    <col min="12" max="12" width="5.625" customWidth="1"/>
    <col min="13" max="13" width="12.25" style="92" customWidth="1"/>
    <col min="14" max="14" width="18.5" style="92" customWidth="1"/>
    <col min="15" max="15" width="23.125" customWidth="1"/>
    <col min="16" max="16" width="15.375" style="199" customWidth="1"/>
    <col min="17" max="17" width="59.5" style="121" bestFit="1" customWidth="1"/>
    <col min="18" max="18" width="14.625" style="19" customWidth="1"/>
    <col min="19" max="19" width="6.875" style="20" customWidth="1"/>
    <col min="20" max="20" width="11.25" customWidth="1"/>
    <col min="21" max="21" width="10" customWidth="1"/>
    <col min="23" max="23" width="11.25" customWidth="1"/>
    <col min="25" max="25" width="9.875" style="20" customWidth="1"/>
    <col min="26" max="26" width="9" style="21"/>
    <col min="27" max="27" width="6.625" customWidth="1"/>
    <col min="28" max="28" width="12.25" bestFit="1" customWidth="1"/>
    <col min="30" max="30" width="11.5" style="181" customWidth="1"/>
    <col min="31" max="31" width="9" style="195"/>
  </cols>
  <sheetData>
    <row r="1" spans="1:31" ht="24" customHeight="1">
      <c r="A1" s="185" t="s">
        <v>0</v>
      </c>
      <c r="B1" s="187" t="s">
        <v>1</v>
      </c>
      <c r="C1" s="2" t="s">
        <v>106</v>
      </c>
      <c r="D1" s="1" t="s">
        <v>2</v>
      </c>
      <c r="E1" s="1" t="s">
        <v>3</v>
      </c>
      <c r="F1" s="1" t="s">
        <v>4</v>
      </c>
      <c r="G1" s="1" t="s">
        <v>125</v>
      </c>
      <c r="H1" s="1" t="s">
        <v>107</v>
      </c>
      <c r="I1" s="196" t="s">
        <v>124</v>
      </c>
      <c r="J1" s="1" t="s">
        <v>5</v>
      </c>
      <c r="K1" s="1" t="s">
        <v>6</v>
      </c>
      <c r="L1" s="1" t="s">
        <v>7</v>
      </c>
      <c r="M1" s="91" t="s">
        <v>8</v>
      </c>
      <c r="N1" s="91" t="s">
        <v>201</v>
      </c>
      <c r="O1" s="1" t="s">
        <v>9</v>
      </c>
      <c r="P1" s="119" t="s">
        <v>185</v>
      </c>
      <c r="Q1" s="119" t="s">
        <v>10</v>
      </c>
      <c r="R1" s="3" t="s">
        <v>11</v>
      </c>
      <c r="S1" s="1" t="s">
        <v>12</v>
      </c>
      <c r="T1" s="4" t="s">
        <v>13</v>
      </c>
      <c r="U1" s="4" t="s">
        <v>121</v>
      </c>
      <c r="V1" s="4" t="s">
        <v>123</v>
      </c>
      <c r="W1" s="4" t="s">
        <v>122</v>
      </c>
      <c r="X1" s="1" t="s">
        <v>14</v>
      </c>
      <c r="Y1" s="1" t="s">
        <v>15</v>
      </c>
      <c r="Z1" s="5" t="s">
        <v>16</v>
      </c>
      <c r="AA1" s="6" t="s">
        <v>128</v>
      </c>
      <c r="AB1" s="1" t="s">
        <v>17</v>
      </c>
      <c r="AD1" s="180" t="s">
        <v>120</v>
      </c>
      <c r="AE1" s="194" t="s">
        <v>132</v>
      </c>
    </row>
    <row r="2" spans="1:31" ht="22.5" customHeight="1">
      <c r="B2" s="189">
        <f t="shared" ref="B2" si="0">IF(F2&gt;0,IFERROR(WEEKNUM(F2),"")-1,"")</f>
        <v>9</v>
      </c>
      <c r="C2" s="112" t="str">
        <f t="shared" ref="C2" si="1">IF(D2=0,"",(IF(LEFT(D2,3)="ATK","ATK",IF(LEFT(D2,2)="AT",D2,"ATK"))))</f>
        <v>ATK</v>
      </c>
      <c r="D2" s="7" t="s">
        <v>165</v>
      </c>
      <c r="E2" s="8" t="s">
        <v>500</v>
      </c>
      <c r="F2" s="8" t="s">
        <v>500</v>
      </c>
      <c r="G2" s="113">
        <f t="shared" ref="G2" si="2">IF(F2&gt;0,MONTH(F2),"")</f>
        <v>3</v>
      </c>
      <c r="H2" s="113" t="str">
        <f t="shared" ref="H2" si="3">IF(I2=0,"",IF(RIGHT(I2,2)="완료","완료",IF(RIGHT(I2,2)="불가","수리불가",IF(RIGHT(I2,1)="중","수리중","Other"))))</f>
        <v>완료</v>
      </c>
      <c r="I2" s="117" t="s">
        <v>412</v>
      </c>
      <c r="J2" s="9" t="s">
        <v>491</v>
      </c>
      <c r="K2" s="10" t="s">
        <v>206</v>
      </c>
      <c r="L2" s="11" t="str">
        <f>LEFT(K2,2)</f>
        <v>1T</v>
      </c>
      <c r="M2" s="18" t="s">
        <v>501</v>
      </c>
      <c r="N2" s="12" t="s">
        <v>502</v>
      </c>
      <c r="O2" s="18" t="s">
        <v>503</v>
      </c>
      <c r="P2" s="197" t="s">
        <v>504</v>
      </c>
      <c r="Q2" s="120" t="s">
        <v>505</v>
      </c>
      <c r="R2" s="13" t="s">
        <v>506</v>
      </c>
      <c r="S2" s="7">
        <v>1</v>
      </c>
      <c r="T2" s="14">
        <v>500</v>
      </c>
      <c r="U2" s="15">
        <f t="shared" ref="U2:U56" si="4">(T2*50)/100*S2</f>
        <v>250</v>
      </c>
      <c r="V2" s="14">
        <v>0</v>
      </c>
      <c r="W2" s="15">
        <f t="shared" ref="W2:W71" si="5">U2-V2</f>
        <v>250</v>
      </c>
      <c r="X2" s="9" t="s">
        <v>495</v>
      </c>
      <c r="Y2" s="7" t="s">
        <v>506</v>
      </c>
      <c r="Z2" s="16">
        <v>5</v>
      </c>
      <c r="AA2" s="17">
        <f t="shared" ref="AA2:AA71" si="6">F2-E2</f>
        <v>0</v>
      </c>
      <c r="AB2" s="9" t="s">
        <v>141</v>
      </c>
      <c r="AD2" s="181">
        <f t="shared" ref="AD2:AD65" si="7">V2/1100</f>
        <v>0</v>
      </c>
    </row>
    <row r="3" spans="1:31" ht="19.5" customHeight="1">
      <c r="B3" s="189">
        <f t="shared" ref="B3:B66" si="8">IF(F3&gt;0,IFERROR(WEEKNUM(F3),"")-1,"")</f>
        <v>9</v>
      </c>
      <c r="C3" s="112" t="str">
        <f t="shared" ref="C3:C66" si="9">IF(D3=0,"",(IF(LEFT(D3,3)="ATK","ATK",IF(LEFT(D3,2)="AT",D3,"ATK"))))</f>
        <v>ATK</v>
      </c>
      <c r="D3" s="7" t="s">
        <v>485</v>
      </c>
      <c r="E3" s="8" t="s">
        <v>500</v>
      </c>
      <c r="F3" s="8" t="s">
        <v>500</v>
      </c>
      <c r="G3" s="113">
        <f t="shared" ref="G3:G66" si="10">IF(F3&gt;0,MONTH(F3),"")</f>
        <v>3</v>
      </c>
      <c r="H3" s="113" t="str">
        <f t="shared" ref="H3:H66" si="11">IF(I3=0,"",IF(RIGHT(I3,2)="완료","완료",IF(RIGHT(I3,2)="불가","수리불가",IF(RIGHT(I3,1)="중","수리중","Other"))))</f>
        <v>Other</v>
      </c>
      <c r="I3" s="117" t="s">
        <v>401</v>
      </c>
      <c r="J3" s="9" t="s">
        <v>392</v>
      </c>
      <c r="K3" s="10" t="s">
        <v>485</v>
      </c>
      <c r="L3" s="11" t="str">
        <f t="shared" ref="L3:L66" si="12">LEFT(K3,2)</f>
        <v>EE</v>
      </c>
      <c r="M3" s="18" t="s">
        <v>507</v>
      </c>
      <c r="N3" s="12" t="s">
        <v>508</v>
      </c>
      <c r="O3" s="18" t="s">
        <v>509</v>
      </c>
      <c r="P3" s="197" t="s">
        <v>510</v>
      </c>
      <c r="Q3" s="120" t="s">
        <v>511</v>
      </c>
      <c r="R3" s="13" t="s">
        <v>506</v>
      </c>
      <c r="S3" s="7">
        <v>1</v>
      </c>
      <c r="T3" s="14">
        <v>970</v>
      </c>
      <c r="U3" s="15">
        <f t="shared" si="4"/>
        <v>485</v>
      </c>
      <c r="V3" s="14">
        <v>0</v>
      </c>
      <c r="W3" s="15">
        <f t="shared" si="5"/>
        <v>485</v>
      </c>
      <c r="X3" s="9" t="s">
        <v>495</v>
      </c>
      <c r="Y3" s="7" t="s">
        <v>506</v>
      </c>
      <c r="Z3" s="16">
        <v>4</v>
      </c>
      <c r="AA3" s="17">
        <f t="shared" si="6"/>
        <v>0</v>
      </c>
      <c r="AB3" s="9" t="s">
        <v>422</v>
      </c>
      <c r="AD3" s="181">
        <f t="shared" si="7"/>
        <v>0</v>
      </c>
    </row>
    <row r="4" spans="1:31">
      <c r="B4" s="189">
        <f t="shared" si="8"/>
        <v>9</v>
      </c>
      <c r="C4" s="112" t="str">
        <f t="shared" si="9"/>
        <v>ATK</v>
      </c>
      <c r="D4" s="7" t="s">
        <v>149</v>
      </c>
      <c r="E4" s="8" t="s">
        <v>512</v>
      </c>
      <c r="F4" s="8" t="s">
        <v>512</v>
      </c>
      <c r="G4" s="113">
        <f t="shared" si="10"/>
        <v>3</v>
      </c>
      <c r="H4" s="113" t="str">
        <f t="shared" si="11"/>
        <v>완료</v>
      </c>
      <c r="I4" s="117" t="s">
        <v>412</v>
      </c>
      <c r="J4" s="9" t="s">
        <v>338</v>
      </c>
      <c r="K4" s="10" t="s">
        <v>206</v>
      </c>
      <c r="L4" s="11" t="str">
        <f t="shared" si="12"/>
        <v>1T</v>
      </c>
      <c r="M4" s="18" t="s">
        <v>353</v>
      </c>
      <c r="N4" s="12" t="s">
        <v>156</v>
      </c>
      <c r="O4" s="18" t="s">
        <v>157</v>
      </c>
      <c r="P4" s="197" t="s">
        <v>506</v>
      </c>
      <c r="Q4" s="120" t="s">
        <v>513</v>
      </c>
      <c r="R4" s="13" t="s">
        <v>506</v>
      </c>
      <c r="S4" s="7">
        <v>1</v>
      </c>
      <c r="T4" s="14">
        <v>3000</v>
      </c>
      <c r="U4" s="15">
        <f t="shared" si="4"/>
        <v>1500</v>
      </c>
      <c r="V4" s="14">
        <v>0</v>
      </c>
      <c r="W4" s="15">
        <f t="shared" si="5"/>
        <v>1500</v>
      </c>
      <c r="X4" s="9" t="s">
        <v>495</v>
      </c>
      <c r="Y4" s="7" t="s">
        <v>506</v>
      </c>
      <c r="Z4" s="16">
        <v>2</v>
      </c>
      <c r="AA4" s="17">
        <f t="shared" si="6"/>
        <v>0</v>
      </c>
      <c r="AB4" s="9" t="s">
        <v>494</v>
      </c>
      <c r="AD4" s="181">
        <f t="shared" si="7"/>
        <v>0</v>
      </c>
    </row>
    <row r="5" spans="1:31">
      <c r="B5" s="189">
        <f t="shared" si="8"/>
        <v>9</v>
      </c>
      <c r="C5" s="112" t="str">
        <f t="shared" si="9"/>
        <v>ATK</v>
      </c>
      <c r="D5" s="7" t="s">
        <v>325</v>
      </c>
      <c r="E5" s="8" t="s">
        <v>512</v>
      </c>
      <c r="F5" s="8" t="s">
        <v>512</v>
      </c>
      <c r="G5" s="113">
        <f t="shared" si="10"/>
        <v>3</v>
      </c>
      <c r="H5" s="113" t="str">
        <f t="shared" si="11"/>
        <v>완료</v>
      </c>
      <c r="I5" s="117" t="s">
        <v>412</v>
      </c>
      <c r="J5" s="9" t="s">
        <v>454</v>
      </c>
      <c r="K5" s="10" t="s">
        <v>454</v>
      </c>
      <c r="L5" s="11" t="str">
        <f t="shared" si="12"/>
        <v>인사</v>
      </c>
      <c r="M5" s="18" t="s">
        <v>329</v>
      </c>
      <c r="N5" s="12" t="s">
        <v>330</v>
      </c>
      <c r="O5" s="18" t="s">
        <v>514</v>
      </c>
      <c r="P5" s="197" t="s">
        <v>506</v>
      </c>
      <c r="Q5" s="120" t="s">
        <v>515</v>
      </c>
      <c r="R5" s="13" t="s">
        <v>506</v>
      </c>
      <c r="S5" s="7">
        <v>1</v>
      </c>
      <c r="T5" s="14">
        <v>20000</v>
      </c>
      <c r="U5" s="15">
        <f t="shared" si="4"/>
        <v>10000</v>
      </c>
      <c r="V5" s="14">
        <v>0</v>
      </c>
      <c r="W5" s="15">
        <f t="shared" si="5"/>
        <v>10000</v>
      </c>
      <c r="X5" s="9" t="s">
        <v>495</v>
      </c>
      <c r="Y5" s="7" t="s">
        <v>506</v>
      </c>
      <c r="Z5" s="16">
        <v>4</v>
      </c>
      <c r="AA5" s="17">
        <f t="shared" si="6"/>
        <v>0</v>
      </c>
      <c r="AB5" s="9" t="s">
        <v>213</v>
      </c>
      <c r="AD5" s="181">
        <f t="shared" si="7"/>
        <v>0</v>
      </c>
    </row>
    <row r="6" spans="1:31">
      <c r="B6" s="189">
        <f t="shared" si="8"/>
        <v>9</v>
      </c>
      <c r="C6" s="112" t="str">
        <f t="shared" si="9"/>
        <v>ATK</v>
      </c>
      <c r="D6" s="7" t="s">
        <v>325</v>
      </c>
      <c r="E6" s="8" t="s">
        <v>512</v>
      </c>
      <c r="F6" s="8" t="s">
        <v>512</v>
      </c>
      <c r="G6" s="113">
        <f t="shared" si="10"/>
        <v>3</v>
      </c>
      <c r="H6" s="113" t="str">
        <f t="shared" si="11"/>
        <v>Other</v>
      </c>
      <c r="I6" s="117" t="s">
        <v>419</v>
      </c>
      <c r="J6" s="9" t="s">
        <v>454</v>
      </c>
      <c r="K6" s="10" t="s">
        <v>454</v>
      </c>
      <c r="L6" s="11" t="str">
        <f t="shared" si="12"/>
        <v>인사</v>
      </c>
      <c r="M6" s="18" t="s">
        <v>329</v>
      </c>
      <c r="N6" s="12" t="s">
        <v>330</v>
      </c>
      <c r="O6" s="18" t="s">
        <v>514</v>
      </c>
      <c r="P6" s="197" t="s">
        <v>506</v>
      </c>
      <c r="Q6" s="120" t="s">
        <v>515</v>
      </c>
      <c r="R6" s="13" t="s">
        <v>506</v>
      </c>
      <c r="S6" s="7">
        <v>1</v>
      </c>
      <c r="T6" s="14">
        <v>0</v>
      </c>
      <c r="U6" s="15">
        <f t="shared" si="4"/>
        <v>0</v>
      </c>
      <c r="V6" s="14">
        <v>0</v>
      </c>
      <c r="W6" s="15">
        <f t="shared" si="5"/>
        <v>0</v>
      </c>
      <c r="X6" s="9" t="s">
        <v>495</v>
      </c>
      <c r="Y6" s="7" t="s">
        <v>506</v>
      </c>
      <c r="Z6" s="16">
        <v>4</v>
      </c>
      <c r="AA6" s="17">
        <f t="shared" si="6"/>
        <v>0</v>
      </c>
      <c r="AB6" s="9" t="s">
        <v>376</v>
      </c>
      <c r="AD6" s="181">
        <f t="shared" si="7"/>
        <v>0</v>
      </c>
    </row>
    <row r="7" spans="1:31" ht="24">
      <c r="B7" s="189">
        <f t="shared" si="8"/>
        <v>9</v>
      </c>
      <c r="C7" s="112" t="str">
        <f t="shared" si="9"/>
        <v>ATK</v>
      </c>
      <c r="D7" s="7" t="s">
        <v>325</v>
      </c>
      <c r="E7" s="8" t="s">
        <v>512</v>
      </c>
      <c r="F7" s="8" t="s">
        <v>512</v>
      </c>
      <c r="G7" s="113">
        <f t="shared" si="10"/>
        <v>3</v>
      </c>
      <c r="H7" s="113" t="str">
        <f t="shared" si="11"/>
        <v>완료</v>
      </c>
      <c r="I7" s="117" t="s">
        <v>412</v>
      </c>
      <c r="J7" s="9" t="s">
        <v>454</v>
      </c>
      <c r="K7" s="10" t="s">
        <v>454</v>
      </c>
      <c r="L7" s="11" t="str">
        <f t="shared" si="12"/>
        <v>인사</v>
      </c>
      <c r="M7" s="18" t="s">
        <v>329</v>
      </c>
      <c r="N7" s="12" t="s">
        <v>516</v>
      </c>
      <c r="O7" s="18" t="s">
        <v>517</v>
      </c>
      <c r="P7" s="197" t="s">
        <v>506</v>
      </c>
      <c r="Q7" s="120" t="s">
        <v>518</v>
      </c>
      <c r="R7" s="13" t="s">
        <v>506</v>
      </c>
      <c r="S7" s="7">
        <v>2</v>
      </c>
      <c r="T7" s="14">
        <v>3000</v>
      </c>
      <c r="U7" s="15">
        <f t="shared" si="4"/>
        <v>3000</v>
      </c>
      <c r="V7" s="14">
        <v>254</v>
      </c>
      <c r="W7" s="15">
        <f t="shared" si="5"/>
        <v>2746</v>
      </c>
      <c r="X7" s="9" t="s">
        <v>495</v>
      </c>
      <c r="Y7" s="7" t="s">
        <v>506</v>
      </c>
      <c r="Z7" s="16">
        <v>4</v>
      </c>
      <c r="AA7" s="17">
        <f t="shared" si="6"/>
        <v>0</v>
      </c>
      <c r="AB7" s="9" t="s">
        <v>376</v>
      </c>
      <c r="AD7" s="181">
        <f t="shared" si="7"/>
        <v>0.2309090909090909</v>
      </c>
    </row>
    <row r="8" spans="1:31" ht="24">
      <c r="B8" s="189">
        <f t="shared" si="8"/>
        <v>9</v>
      </c>
      <c r="C8" s="112" t="str">
        <f t="shared" si="9"/>
        <v>ATK</v>
      </c>
      <c r="D8" s="7" t="s">
        <v>325</v>
      </c>
      <c r="E8" s="8" t="s">
        <v>512</v>
      </c>
      <c r="F8" s="8" t="s">
        <v>512</v>
      </c>
      <c r="G8" s="113">
        <f t="shared" si="10"/>
        <v>3</v>
      </c>
      <c r="H8" s="113" t="str">
        <f t="shared" si="11"/>
        <v>Other</v>
      </c>
      <c r="I8" s="117" t="s">
        <v>419</v>
      </c>
      <c r="J8" s="9" t="s">
        <v>454</v>
      </c>
      <c r="K8" s="10" t="s">
        <v>454</v>
      </c>
      <c r="L8" s="11" t="str">
        <f t="shared" si="12"/>
        <v>인사</v>
      </c>
      <c r="M8" s="18" t="s">
        <v>329</v>
      </c>
      <c r="N8" s="12" t="s">
        <v>516</v>
      </c>
      <c r="O8" s="18" t="s">
        <v>517</v>
      </c>
      <c r="P8" s="197" t="s">
        <v>506</v>
      </c>
      <c r="Q8" s="120" t="s">
        <v>518</v>
      </c>
      <c r="R8" s="13" t="s">
        <v>506</v>
      </c>
      <c r="S8" s="7">
        <v>2</v>
      </c>
      <c r="T8" s="14">
        <v>0</v>
      </c>
      <c r="U8" s="15">
        <f t="shared" si="4"/>
        <v>0</v>
      </c>
      <c r="V8" s="14">
        <v>0</v>
      </c>
      <c r="W8" s="15">
        <f t="shared" si="5"/>
        <v>0</v>
      </c>
      <c r="X8" s="9" t="s">
        <v>495</v>
      </c>
      <c r="Y8" s="7" t="s">
        <v>506</v>
      </c>
      <c r="Z8" s="16">
        <v>4</v>
      </c>
      <c r="AA8" s="17">
        <f t="shared" si="6"/>
        <v>0</v>
      </c>
      <c r="AB8" s="9" t="s">
        <v>213</v>
      </c>
      <c r="AD8" s="181">
        <f t="shared" si="7"/>
        <v>0</v>
      </c>
    </row>
    <row r="9" spans="1:31">
      <c r="B9" s="189">
        <f t="shared" si="8"/>
        <v>9</v>
      </c>
      <c r="C9" s="112" t="str">
        <f t="shared" si="9"/>
        <v>ATK</v>
      </c>
      <c r="D9" s="7" t="s">
        <v>519</v>
      </c>
      <c r="E9" s="8" t="s">
        <v>512</v>
      </c>
      <c r="F9" s="8" t="s">
        <v>512</v>
      </c>
      <c r="G9" s="113">
        <f t="shared" si="10"/>
        <v>3</v>
      </c>
      <c r="H9" s="113" t="str">
        <f t="shared" si="11"/>
        <v>완료</v>
      </c>
      <c r="I9" s="117" t="s">
        <v>412</v>
      </c>
      <c r="J9" s="9" t="s">
        <v>198</v>
      </c>
      <c r="K9" s="10" t="s">
        <v>520</v>
      </c>
      <c r="L9" s="11" t="str">
        <f t="shared" si="12"/>
        <v>OT</v>
      </c>
      <c r="M9" s="18" t="s">
        <v>521</v>
      </c>
      <c r="N9" s="12" t="s">
        <v>522</v>
      </c>
      <c r="O9" s="18" t="s">
        <v>523</v>
      </c>
      <c r="P9" s="197" t="s">
        <v>506</v>
      </c>
      <c r="Q9" s="120" t="s">
        <v>524</v>
      </c>
      <c r="R9" s="13" t="s">
        <v>506</v>
      </c>
      <c r="S9" s="7">
        <v>1</v>
      </c>
      <c r="T9" s="14">
        <v>4200</v>
      </c>
      <c r="U9" s="15">
        <f t="shared" si="4"/>
        <v>2100</v>
      </c>
      <c r="V9" s="14">
        <v>0</v>
      </c>
      <c r="W9" s="15">
        <f t="shared" si="5"/>
        <v>2100</v>
      </c>
      <c r="X9" s="9" t="s">
        <v>495</v>
      </c>
      <c r="Y9" s="7" t="s">
        <v>506</v>
      </c>
      <c r="Z9" s="16">
        <v>4</v>
      </c>
      <c r="AA9" s="17"/>
      <c r="AB9" s="9" t="s">
        <v>422</v>
      </c>
    </row>
    <row r="10" spans="1:31" ht="24">
      <c r="B10" s="189">
        <f t="shared" si="8"/>
        <v>9</v>
      </c>
      <c r="C10" s="112" t="str">
        <f t="shared" si="9"/>
        <v>ATK</v>
      </c>
      <c r="D10" s="7" t="s">
        <v>219</v>
      </c>
      <c r="E10" s="8" t="s">
        <v>512</v>
      </c>
      <c r="F10" s="8" t="s">
        <v>512</v>
      </c>
      <c r="G10" s="113">
        <f t="shared" si="10"/>
        <v>3</v>
      </c>
      <c r="H10" s="113" t="str">
        <f t="shared" si="11"/>
        <v>완료</v>
      </c>
      <c r="I10" s="117" t="s">
        <v>412</v>
      </c>
      <c r="J10" s="9" t="s">
        <v>338</v>
      </c>
      <c r="K10" s="10" t="s">
        <v>206</v>
      </c>
      <c r="L10" s="11" t="str">
        <f t="shared" si="12"/>
        <v>1T</v>
      </c>
      <c r="M10" s="18" t="s">
        <v>258</v>
      </c>
      <c r="N10" s="12" t="s">
        <v>258</v>
      </c>
      <c r="O10" s="18" t="s">
        <v>525</v>
      </c>
      <c r="P10" s="197" t="s">
        <v>323</v>
      </c>
      <c r="Q10" s="120" t="s">
        <v>526</v>
      </c>
      <c r="R10" s="13" t="s">
        <v>506</v>
      </c>
      <c r="S10" s="7">
        <v>1</v>
      </c>
      <c r="T10" s="14">
        <v>1000</v>
      </c>
      <c r="U10" s="15">
        <f t="shared" si="4"/>
        <v>500</v>
      </c>
      <c r="V10" s="14">
        <v>20</v>
      </c>
      <c r="W10" s="15">
        <f t="shared" si="5"/>
        <v>480</v>
      </c>
      <c r="X10" s="9" t="s">
        <v>495</v>
      </c>
      <c r="Y10" s="7" t="s">
        <v>506</v>
      </c>
      <c r="Z10" s="16">
        <v>4</v>
      </c>
      <c r="AA10" s="17">
        <f t="shared" si="6"/>
        <v>0</v>
      </c>
      <c r="AB10" s="9" t="s">
        <v>141</v>
      </c>
      <c r="AD10" s="181">
        <f t="shared" si="7"/>
        <v>1.8181818181818181E-2</v>
      </c>
    </row>
    <row r="11" spans="1:31" ht="24">
      <c r="B11" s="189">
        <f t="shared" si="8"/>
        <v>9</v>
      </c>
      <c r="C11" s="112" t="str">
        <f t="shared" si="9"/>
        <v>ATK</v>
      </c>
      <c r="D11" s="7" t="s">
        <v>219</v>
      </c>
      <c r="E11" s="8" t="s">
        <v>512</v>
      </c>
      <c r="F11" s="8" t="s">
        <v>512</v>
      </c>
      <c r="G11" s="113">
        <f t="shared" si="10"/>
        <v>3</v>
      </c>
      <c r="H11" s="113" t="str">
        <f t="shared" si="11"/>
        <v>완료</v>
      </c>
      <c r="I11" s="117" t="s">
        <v>412</v>
      </c>
      <c r="J11" s="9" t="s">
        <v>338</v>
      </c>
      <c r="K11" s="10" t="s">
        <v>206</v>
      </c>
      <c r="L11" s="11" t="str">
        <f t="shared" si="12"/>
        <v>1T</v>
      </c>
      <c r="M11" s="18" t="s">
        <v>258</v>
      </c>
      <c r="N11" s="12" t="s">
        <v>258</v>
      </c>
      <c r="O11" s="18" t="s">
        <v>527</v>
      </c>
      <c r="P11" s="197" t="s">
        <v>528</v>
      </c>
      <c r="Q11" s="120" t="s">
        <v>529</v>
      </c>
      <c r="R11" s="13" t="s">
        <v>506</v>
      </c>
      <c r="S11" s="7">
        <v>1</v>
      </c>
      <c r="T11" s="14">
        <v>1000</v>
      </c>
      <c r="U11" s="15">
        <f t="shared" si="4"/>
        <v>500</v>
      </c>
      <c r="V11" s="14">
        <v>20</v>
      </c>
      <c r="W11" s="15">
        <f t="shared" si="5"/>
        <v>480</v>
      </c>
      <c r="X11" s="9" t="s">
        <v>495</v>
      </c>
      <c r="Y11" s="7" t="s">
        <v>506</v>
      </c>
      <c r="Z11" s="16">
        <v>5</v>
      </c>
      <c r="AA11" s="17">
        <f t="shared" si="6"/>
        <v>0</v>
      </c>
      <c r="AB11" s="9" t="s">
        <v>141</v>
      </c>
      <c r="AD11" s="181">
        <f t="shared" si="7"/>
        <v>1.8181818181818181E-2</v>
      </c>
    </row>
    <row r="12" spans="1:31">
      <c r="B12" s="189">
        <f t="shared" si="8"/>
        <v>9</v>
      </c>
      <c r="C12" s="112" t="str">
        <f t="shared" si="9"/>
        <v>ATK</v>
      </c>
      <c r="D12" s="7" t="s">
        <v>324</v>
      </c>
      <c r="E12" s="8" t="s">
        <v>512</v>
      </c>
      <c r="F12" s="8" t="s">
        <v>512</v>
      </c>
      <c r="G12" s="113">
        <f t="shared" si="10"/>
        <v>3</v>
      </c>
      <c r="H12" s="113" t="str">
        <f t="shared" si="11"/>
        <v>완료</v>
      </c>
      <c r="I12" s="117" t="s">
        <v>412</v>
      </c>
      <c r="J12" s="9" t="s">
        <v>198</v>
      </c>
      <c r="K12" s="10" t="s">
        <v>199</v>
      </c>
      <c r="L12" s="11" t="str">
        <f t="shared" si="12"/>
        <v>3T</v>
      </c>
      <c r="M12" s="18" t="s">
        <v>173</v>
      </c>
      <c r="N12" s="12" t="s">
        <v>530</v>
      </c>
      <c r="O12" s="18" t="s">
        <v>531</v>
      </c>
      <c r="P12" s="197" t="s">
        <v>189</v>
      </c>
      <c r="Q12" s="120" t="s">
        <v>532</v>
      </c>
      <c r="R12" s="13" t="s">
        <v>506</v>
      </c>
      <c r="S12" s="7">
        <v>1</v>
      </c>
      <c r="T12" s="14">
        <v>600</v>
      </c>
      <c r="U12" s="15">
        <f t="shared" si="4"/>
        <v>300</v>
      </c>
      <c r="V12" s="14">
        <v>2</v>
      </c>
      <c r="W12" s="15">
        <f t="shared" si="5"/>
        <v>298</v>
      </c>
      <c r="X12" s="9" t="s">
        <v>495</v>
      </c>
      <c r="Y12" s="7" t="s">
        <v>506</v>
      </c>
      <c r="Z12" s="16">
        <v>1</v>
      </c>
      <c r="AA12" s="17">
        <f t="shared" si="6"/>
        <v>0</v>
      </c>
      <c r="AB12" s="9" t="s">
        <v>213</v>
      </c>
      <c r="AD12" s="181">
        <f t="shared" si="7"/>
        <v>1.8181818181818182E-3</v>
      </c>
    </row>
    <row r="13" spans="1:31">
      <c r="B13" s="189">
        <f t="shared" si="8"/>
        <v>9</v>
      </c>
      <c r="C13" s="112" t="str">
        <f t="shared" si="9"/>
        <v>ATK</v>
      </c>
      <c r="D13" s="7" t="s">
        <v>273</v>
      </c>
      <c r="E13" s="8" t="s">
        <v>512</v>
      </c>
      <c r="F13" s="8" t="s">
        <v>512</v>
      </c>
      <c r="G13" s="113">
        <f t="shared" si="10"/>
        <v>3</v>
      </c>
      <c r="H13" s="113" t="str">
        <f t="shared" si="11"/>
        <v>완료</v>
      </c>
      <c r="I13" s="117" t="s">
        <v>412</v>
      </c>
      <c r="J13" s="9" t="s">
        <v>198</v>
      </c>
      <c r="K13" s="10" t="s">
        <v>199</v>
      </c>
      <c r="L13" s="11" t="str">
        <f t="shared" si="12"/>
        <v>3T</v>
      </c>
      <c r="M13" s="18" t="s">
        <v>506</v>
      </c>
      <c r="N13" s="12" t="s">
        <v>533</v>
      </c>
      <c r="O13" s="18" t="s">
        <v>523</v>
      </c>
      <c r="P13" s="197" t="s">
        <v>534</v>
      </c>
      <c r="Q13" s="120" t="s">
        <v>532</v>
      </c>
      <c r="R13" s="13" t="s">
        <v>506</v>
      </c>
      <c r="S13" s="7">
        <v>1</v>
      </c>
      <c r="T13" s="14">
        <v>700</v>
      </c>
      <c r="U13" s="15">
        <f t="shared" si="4"/>
        <v>350</v>
      </c>
      <c r="V13" s="14">
        <v>1</v>
      </c>
      <c r="W13" s="15">
        <f t="shared" si="5"/>
        <v>349</v>
      </c>
      <c r="X13" s="9" t="s">
        <v>495</v>
      </c>
      <c r="Y13" s="7" t="s">
        <v>506</v>
      </c>
      <c r="Z13" s="16">
        <v>1</v>
      </c>
      <c r="AA13" s="17">
        <f t="shared" si="6"/>
        <v>0</v>
      </c>
      <c r="AB13" s="9" t="s">
        <v>213</v>
      </c>
      <c r="AD13" s="181">
        <f t="shared" si="7"/>
        <v>9.0909090909090909E-4</v>
      </c>
    </row>
    <row r="14" spans="1:31">
      <c r="B14" s="189" t="e">
        <f t="shared" si="8"/>
        <v>#VALUE!</v>
      </c>
      <c r="C14" s="112" t="str">
        <f t="shared" si="9"/>
        <v>ATK</v>
      </c>
      <c r="D14" s="7" t="s">
        <v>535</v>
      </c>
      <c r="E14" s="8" t="s">
        <v>512</v>
      </c>
      <c r="F14" s="8" t="s">
        <v>506</v>
      </c>
      <c r="G14" s="113" t="e">
        <f t="shared" si="10"/>
        <v>#VALUE!</v>
      </c>
      <c r="H14" s="113" t="str">
        <f t="shared" si="11"/>
        <v>수리중</v>
      </c>
      <c r="I14" s="117" t="s">
        <v>390</v>
      </c>
      <c r="J14" s="9" t="s">
        <v>352</v>
      </c>
      <c r="K14" s="10" t="s">
        <v>352</v>
      </c>
      <c r="L14" s="11" t="str">
        <f t="shared" si="12"/>
        <v>K5</v>
      </c>
      <c r="M14" s="18" t="s">
        <v>536</v>
      </c>
      <c r="N14" s="12" t="s">
        <v>537</v>
      </c>
      <c r="O14" s="18" t="s">
        <v>538</v>
      </c>
      <c r="P14" s="197" t="s">
        <v>506</v>
      </c>
      <c r="Q14" s="120" t="s">
        <v>539</v>
      </c>
      <c r="R14" s="13" t="s">
        <v>540</v>
      </c>
      <c r="S14" s="7">
        <v>1</v>
      </c>
      <c r="T14" s="14">
        <v>20000</v>
      </c>
      <c r="U14" s="15">
        <f t="shared" si="4"/>
        <v>10000</v>
      </c>
      <c r="V14" s="14">
        <v>0</v>
      </c>
      <c r="W14" s="15">
        <f t="shared" si="5"/>
        <v>10000</v>
      </c>
      <c r="X14" s="9" t="s">
        <v>236</v>
      </c>
      <c r="Y14" s="7" t="s">
        <v>237</v>
      </c>
      <c r="Z14" s="16">
        <v>2</v>
      </c>
      <c r="AA14" s="17" t="e">
        <f t="shared" si="6"/>
        <v>#VALUE!</v>
      </c>
      <c r="AB14" s="9" t="s">
        <v>213</v>
      </c>
      <c r="AD14" s="181">
        <f t="shared" si="7"/>
        <v>0</v>
      </c>
    </row>
    <row r="15" spans="1:31">
      <c r="B15" s="189">
        <f t="shared" si="8"/>
        <v>9</v>
      </c>
      <c r="C15" s="112" t="str">
        <f t="shared" si="9"/>
        <v>ATK</v>
      </c>
      <c r="D15" s="7" t="s">
        <v>407</v>
      </c>
      <c r="E15" s="8" t="s">
        <v>512</v>
      </c>
      <c r="F15" s="8" t="s">
        <v>512</v>
      </c>
      <c r="G15" s="113">
        <f t="shared" si="10"/>
        <v>3</v>
      </c>
      <c r="H15" s="113" t="str">
        <f t="shared" si="11"/>
        <v>Other</v>
      </c>
      <c r="I15" s="117" t="s">
        <v>401</v>
      </c>
      <c r="J15" s="9" t="s">
        <v>198</v>
      </c>
      <c r="K15" s="10" t="s">
        <v>145</v>
      </c>
      <c r="L15" s="11" t="str">
        <f t="shared" si="12"/>
        <v>3T</v>
      </c>
      <c r="M15" s="18" t="s">
        <v>182</v>
      </c>
      <c r="N15" s="12" t="s">
        <v>541</v>
      </c>
      <c r="O15" s="18" t="s">
        <v>182</v>
      </c>
      <c r="P15" s="197" t="s">
        <v>506</v>
      </c>
      <c r="Q15" s="120" t="s">
        <v>542</v>
      </c>
      <c r="R15" s="13" t="s">
        <v>543</v>
      </c>
      <c r="S15" s="7">
        <v>1</v>
      </c>
      <c r="T15" s="14">
        <v>500</v>
      </c>
      <c r="U15" s="15">
        <f t="shared" si="4"/>
        <v>250</v>
      </c>
      <c r="V15" s="14">
        <v>0</v>
      </c>
      <c r="W15" s="15">
        <f t="shared" si="5"/>
        <v>250</v>
      </c>
      <c r="X15" s="9" t="s">
        <v>495</v>
      </c>
      <c r="Y15" s="7" t="s">
        <v>506</v>
      </c>
      <c r="Z15" s="16">
        <v>1</v>
      </c>
      <c r="AA15" s="17">
        <f t="shared" si="6"/>
        <v>0</v>
      </c>
      <c r="AB15" s="9" t="s">
        <v>494</v>
      </c>
      <c r="AD15" s="181">
        <f t="shared" si="7"/>
        <v>0</v>
      </c>
    </row>
    <row r="16" spans="1:31">
      <c r="B16" s="189" t="e">
        <f t="shared" si="8"/>
        <v>#VALUE!</v>
      </c>
      <c r="C16" s="112" t="str">
        <f t="shared" si="9"/>
        <v>ATK</v>
      </c>
      <c r="D16" s="7" t="s">
        <v>544</v>
      </c>
      <c r="E16" s="8" t="s">
        <v>512</v>
      </c>
      <c r="F16" s="8" t="s">
        <v>506</v>
      </c>
      <c r="G16" s="113" t="e">
        <f t="shared" si="10"/>
        <v>#VALUE!</v>
      </c>
      <c r="H16" s="113" t="str">
        <f t="shared" si="11"/>
        <v>수리중</v>
      </c>
      <c r="I16" s="117" t="s">
        <v>490</v>
      </c>
      <c r="J16" s="9" t="s">
        <v>408</v>
      </c>
      <c r="K16" s="10" t="s">
        <v>347</v>
      </c>
      <c r="L16" s="11" t="str">
        <f t="shared" si="12"/>
        <v>1T</v>
      </c>
      <c r="M16" s="18" t="s">
        <v>507</v>
      </c>
      <c r="N16" s="12" t="s">
        <v>545</v>
      </c>
      <c r="O16" s="12" t="s">
        <v>182</v>
      </c>
      <c r="P16" s="198" t="s">
        <v>506</v>
      </c>
      <c r="Q16" s="120" t="s">
        <v>546</v>
      </c>
      <c r="R16" s="13" t="s">
        <v>506</v>
      </c>
      <c r="S16" s="7">
        <v>1</v>
      </c>
      <c r="T16" s="14">
        <v>700</v>
      </c>
      <c r="U16" s="15">
        <f t="shared" si="4"/>
        <v>350</v>
      </c>
      <c r="V16" s="14">
        <v>0</v>
      </c>
      <c r="W16" s="15">
        <f t="shared" si="5"/>
        <v>350</v>
      </c>
      <c r="X16" s="9" t="s">
        <v>495</v>
      </c>
      <c r="Y16" s="7" t="s">
        <v>506</v>
      </c>
      <c r="Z16" s="16">
        <v>0</v>
      </c>
      <c r="AA16" s="17" t="e">
        <f t="shared" si="6"/>
        <v>#VALUE!</v>
      </c>
      <c r="AB16" s="9" t="s">
        <v>494</v>
      </c>
      <c r="AD16" s="181">
        <f t="shared" si="7"/>
        <v>0</v>
      </c>
    </row>
    <row r="17" spans="2:30">
      <c r="B17" s="189" t="e">
        <f t="shared" si="8"/>
        <v>#VALUE!</v>
      </c>
      <c r="C17" s="112" t="str">
        <f t="shared" si="9"/>
        <v>ATK</v>
      </c>
      <c r="D17" s="7" t="s">
        <v>547</v>
      </c>
      <c r="E17" s="8" t="s">
        <v>512</v>
      </c>
      <c r="F17" s="8" t="s">
        <v>506</v>
      </c>
      <c r="G17" s="113" t="e">
        <f t="shared" si="10"/>
        <v>#VALUE!</v>
      </c>
      <c r="H17" s="113" t="str">
        <f t="shared" si="11"/>
        <v>수리중</v>
      </c>
      <c r="I17" s="117" t="s">
        <v>490</v>
      </c>
      <c r="J17" s="9" t="s">
        <v>392</v>
      </c>
      <c r="K17" s="10" t="s">
        <v>393</v>
      </c>
      <c r="L17" s="11" t="str">
        <f t="shared" si="12"/>
        <v>EE</v>
      </c>
      <c r="M17" s="18" t="s">
        <v>339</v>
      </c>
      <c r="N17" s="12" t="s">
        <v>548</v>
      </c>
      <c r="O17" s="18" t="s">
        <v>549</v>
      </c>
      <c r="P17" s="197" t="s">
        <v>550</v>
      </c>
      <c r="Q17" s="120" t="s">
        <v>551</v>
      </c>
      <c r="R17" s="13" t="s">
        <v>506</v>
      </c>
      <c r="S17" s="7">
        <v>1</v>
      </c>
      <c r="T17" s="14">
        <v>2500</v>
      </c>
      <c r="U17" s="15">
        <f t="shared" si="4"/>
        <v>1250</v>
      </c>
      <c r="V17" s="14">
        <v>0</v>
      </c>
      <c r="W17" s="15">
        <f t="shared" si="5"/>
        <v>1250</v>
      </c>
      <c r="X17" s="9" t="s">
        <v>495</v>
      </c>
      <c r="Y17" s="7" t="s">
        <v>506</v>
      </c>
      <c r="Z17" s="16">
        <v>0</v>
      </c>
      <c r="AA17" s="17" t="e">
        <f t="shared" si="6"/>
        <v>#VALUE!</v>
      </c>
      <c r="AB17" s="9" t="s">
        <v>506</v>
      </c>
      <c r="AD17" s="181">
        <f t="shared" si="7"/>
        <v>0</v>
      </c>
    </row>
    <row r="18" spans="2:30">
      <c r="B18" s="189" t="e">
        <f t="shared" si="8"/>
        <v>#VALUE!</v>
      </c>
      <c r="C18" s="112" t="str">
        <f t="shared" si="9"/>
        <v>ATK</v>
      </c>
      <c r="D18" s="7" t="s">
        <v>547</v>
      </c>
      <c r="E18" s="8" t="s">
        <v>512</v>
      </c>
      <c r="F18" s="8" t="s">
        <v>506</v>
      </c>
      <c r="G18" s="113" t="e">
        <f t="shared" si="10"/>
        <v>#VALUE!</v>
      </c>
      <c r="H18" s="113" t="str">
        <f t="shared" si="11"/>
        <v>수리중</v>
      </c>
      <c r="I18" s="117" t="s">
        <v>490</v>
      </c>
      <c r="J18" s="9" t="s">
        <v>392</v>
      </c>
      <c r="K18" s="10" t="s">
        <v>393</v>
      </c>
      <c r="L18" s="11" t="str">
        <f t="shared" si="12"/>
        <v>EE</v>
      </c>
      <c r="M18" s="18" t="s">
        <v>339</v>
      </c>
      <c r="N18" s="12" t="s">
        <v>548</v>
      </c>
      <c r="O18" s="18" t="s">
        <v>549</v>
      </c>
      <c r="P18" s="197" t="s">
        <v>550</v>
      </c>
      <c r="Q18" s="120" t="s">
        <v>551</v>
      </c>
      <c r="R18" s="13" t="s">
        <v>506</v>
      </c>
      <c r="S18" s="7">
        <v>1</v>
      </c>
      <c r="T18" s="14">
        <v>2500</v>
      </c>
      <c r="U18" s="15">
        <f t="shared" si="4"/>
        <v>1250</v>
      </c>
      <c r="V18" s="14">
        <v>0</v>
      </c>
      <c r="W18" s="15">
        <f t="shared" si="5"/>
        <v>1250</v>
      </c>
      <c r="X18" s="9" t="s">
        <v>495</v>
      </c>
      <c r="Y18" s="7" t="s">
        <v>506</v>
      </c>
      <c r="Z18" s="16">
        <v>0</v>
      </c>
      <c r="AA18" s="17" t="e">
        <f t="shared" si="6"/>
        <v>#VALUE!</v>
      </c>
      <c r="AB18" s="9" t="s">
        <v>506</v>
      </c>
      <c r="AD18" s="181">
        <f t="shared" si="7"/>
        <v>0</v>
      </c>
    </row>
    <row r="19" spans="2:30">
      <c r="B19" s="189">
        <f t="shared" si="8"/>
        <v>9</v>
      </c>
      <c r="C19" s="112" t="str">
        <f t="shared" si="9"/>
        <v>ATK</v>
      </c>
      <c r="D19" s="7" t="s">
        <v>337</v>
      </c>
      <c r="E19" s="8" t="s">
        <v>512</v>
      </c>
      <c r="F19" s="8" t="s">
        <v>512</v>
      </c>
      <c r="G19" s="113">
        <f t="shared" si="10"/>
        <v>3</v>
      </c>
      <c r="H19" s="113" t="str">
        <f t="shared" si="11"/>
        <v>완료</v>
      </c>
      <c r="I19" s="117" t="s">
        <v>412</v>
      </c>
      <c r="J19" s="9" t="s">
        <v>381</v>
      </c>
      <c r="K19" s="10" t="s">
        <v>435</v>
      </c>
      <c r="L19" s="11" t="str">
        <f t="shared" si="12"/>
        <v>2T</v>
      </c>
      <c r="M19" s="18" t="s">
        <v>552</v>
      </c>
      <c r="N19" s="12" t="s">
        <v>553</v>
      </c>
      <c r="O19" s="18" t="s">
        <v>554</v>
      </c>
      <c r="P19" s="197" t="s">
        <v>555</v>
      </c>
      <c r="Q19" s="120" t="s">
        <v>556</v>
      </c>
      <c r="R19" s="13" t="s">
        <v>557</v>
      </c>
      <c r="S19" s="7">
        <v>1</v>
      </c>
      <c r="T19" s="14">
        <v>2500</v>
      </c>
      <c r="U19" s="15">
        <f t="shared" si="4"/>
        <v>1250</v>
      </c>
      <c r="V19" s="14">
        <v>2</v>
      </c>
      <c r="W19" s="15">
        <f t="shared" si="5"/>
        <v>1248</v>
      </c>
      <c r="X19" s="9" t="s">
        <v>495</v>
      </c>
      <c r="Y19" s="7" t="s">
        <v>506</v>
      </c>
      <c r="Z19" s="16">
        <v>4</v>
      </c>
      <c r="AA19" s="17">
        <f t="shared" si="6"/>
        <v>0</v>
      </c>
      <c r="AB19" s="9" t="s">
        <v>422</v>
      </c>
      <c r="AD19" s="181">
        <f t="shared" si="7"/>
        <v>1.8181818181818182E-3</v>
      </c>
    </row>
    <row r="20" spans="2:30">
      <c r="B20" s="189">
        <f t="shared" si="8"/>
        <v>9</v>
      </c>
      <c r="C20" s="112" t="str">
        <f t="shared" si="9"/>
        <v>ATK</v>
      </c>
      <c r="D20" s="7" t="s">
        <v>558</v>
      </c>
      <c r="E20" s="8" t="s">
        <v>512</v>
      </c>
      <c r="F20" s="8" t="s">
        <v>512</v>
      </c>
      <c r="G20" s="113">
        <f t="shared" si="10"/>
        <v>3</v>
      </c>
      <c r="H20" s="113" t="str">
        <f t="shared" si="11"/>
        <v>Other</v>
      </c>
      <c r="I20" s="117" t="s">
        <v>419</v>
      </c>
      <c r="J20" s="9" t="s">
        <v>392</v>
      </c>
      <c r="K20" s="10" t="s">
        <v>393</v>
      </c>
      <c r="L20" s="11" t="str">
        <f t="shared" si="12"/>
        <v>EE</v>
      </c>
      <c r="M20" s="18" t="s">
        <v>423</v>
      </c>
      <c r="N20" s="12" t="s">
        <v>423</v>
      </c>
      <c r="O20" s="18" t="s">
        <v>559</v>
      </c>
      <c r="P20" s="197" t="s">
        <v>506</v>
      </c>
      <c r="Q20" s="120" t="s">
        <v>560</v>
      </c>
      <c r="R20" s="13" t="s">
        <v>506</v>
      </c>
      <c r="S20" s="7">
        <v>2</v>
      </c>
      <c r="T20" s="14">
        <v>0</v>
      </c>
      <c r="U20" s="15">
        <f t="shared" si="4"/>
        <v>0</v>
      </c>
      <c r="V20" s="14">
        <v>0</v>
      </c>
      <c r="W20" s="15">
        <f t="shared" si="5"/>
        <v>0</v>
      </c>
      <c r="X20" s="9" t="s">
        <v>495</v>
      </c>
      <c r="Y20" s="7" t="s">
        <v>506</v>
      </c>
      <c r="Z20" s="16">
        <v>4</v>
      </c>
      <c r="AA20" s="17">
        <f t="shared" si="6"/>
        <v>0</v>
      </c>
      <c r="AB20" s="9" t="s">
        <v>376</v>
      </c>
      <c r="AD20" s="181">
        <f t="shared" si="7"/>
        <v>0</v>
      </c>
    </row>
    <row r="21" spans="2:30">
      <c r="B21" s="189">
        <f t="shared" si="8"/>
        <v>8</v>
      </c>
      <c r="C21" s="112" t="str">
        <f t="shared" si="9"/>
        <v>ATK</v>
      </c>
      <c r="D21" s="7" t="s">
        <v>561</v>
      </c>
      <c r="E21" s="8" t="s">
        <v>562</v>
      </c>
      <c r="F21" s="8" t="s">
        <v>562</v>
      </c>
      <c r="G21" s="113">
        <f t="shared" si="10"/>
        <v>2</v>
      </c>
      <c r="H21" s="113" t="str">
        <f t="shared" si="11"/>
        <v>완료</v>
      </c>
      <c r="I21" s="117" t="s">
        <v>412</v>
      </c>
      <c r="J21" s="9" t="s">
        <v>392</v>
      </c>
      <c r="K21" s="10" t="s">
        <v>485</v>
      </c>
      <c r="L21" s="11" t="str">
        <f t="shared" si="12"/>
        <v>EE</v>
      </c>
      <c r="M21" s="18" t="s">
        <v>563</v>
      </c>
      <c r="N21" s="12" t="s">
        <v>506</v>
      </c>
      <c r="O21" s="18" t="s">
        <v>564</v>
      </c>
      <c r="P21" s="197" t="s">
        <v>506</v>
      </c>
      <c r="Q21" s="120" t="s">
        <v>565</v>
      </c>
      <c r="R21" s="13" t="s">
        <v>506</v>
      </c>
      <c r="S21" s="7">
        <v>1</v>
      </c>
      <c r="T21" s="14">
        <v>320</v>
      </c>
      <c r="U21" s="15">
        <f t="shared" si="4"/>
        <v>160</v>
      </c>
      <c r="V21" s="14">
        <v>1</v>
      </c>
      <c r="W21" s="15">
        <f t="shared" si="5"/>
        <v>159</v>
      </c>
      <c r="X21" s="9" t="s">
        <v>495</v>
      </c>
      <c r="Y21" s="7" t="s">
        <v>506</v>
      </c>
      <c r="Z21" s="16">
        <v>4</v>
      </c>
      <c r="AA21" s="17">
        <f t="shared" si="6"/>
        <v>0</v>
      </c>
      <c r="AB21" s="9" t="s">
        <v>422</v>
      </c>
      <c r="AD21" s="181">
        <f t="shared" si="7"/>
        <v>9.0909090909090909E-4</v>
      </c>
    </row>
    <row r="22" spans="2:30" ht="24">
      <c r="B22" s="189">
        <f t="shared" si="8"/>
        <v>8</v>
      </c>
      <c r="C22" s="112" t="str">
        <f t="shared" si="9"/>
        <v>ATK</v>
      </c>
      <c r="D22" s="7" t="s">
        <v>141</v>
      </c>
      <c r="E22" s="8" t="s">
        <v>562</v>
      </c>
      <c r="F22" s="8" t="s">
        <v>562</v>
      </c>
      <c r="G22" s="113">
        <f t="shared" si="10"/>
        <v>2</v>
      </c>
      <c r="H22" s="113" t="str">
        <f t="shared" si="11"/>
        <v>완료</v>
      </c>
      <c r="I22" s="117" t="s">
        <v>412</v>
      </c>
      <c r="J22" s="9" t="s">
        <v>566</v>
      </c>
      <c r="K22" s="10" t="s">
        <v>485</v>
      </c>
      <c r="L22" s="11" t="str">
        <f t="shared" si="12"/>
        <v>EE</v>
      </c>
      <c r="M22" s="18" t="s">
        <v>567</v>
      </c>
      <c r="N22" s="12" t="s">
        <v>568</v>
      </c>
      <c r="O22" s="18" t="s">
        <v>569</v>
      </c>
      <c r="P22" s="197" t="s">
        <v>570</v>
      </c>
      <c r="Q22" s="120" t="s">
        <v>571</v>
      </c>
      <c r="R22" s="13" t="s">
        <v>506</v>
      </c>
      <c r="S22" s="7">
        <v>1</v>
      </c>
      <c r="T22" s="14">
        <v>1000</v>
      </c>
      <c r="U22" s="15">
        <f t="shared" si="4"/>
        <v>500</v>
      </c>
      <c r="V22" s="14">
        <v>0</v>
      </c>
      <c r="W22" s="15">
        <f t="shared" si="5"/>
        <v>500</v>
      </c>
      <c r="X22" s="9" t="s">
        <v>495</v>
      </c>
      <c r="Y22" s="7" t="s">
        <v>506</v>
      </c>
      <c r="Z22" s="16">
        <v>4</v>
      </c>
      <c r="AA22" s="17">
        <f t="shared" si="6"/>
        <v>0</v>
      </c>
      <c r="AB22" s="9" t="s">
        <v>141</v>
      </c>
      <c r="AD22" s="181">
        <f t="shared" si="7"/>
        <v>0</v>
      </c>
    </row>
    <row r="23" spans="2:30" ht="24">
      <c r="B23" s="189">
        <f t="shared" si="8"/>
        <v>8</v>
      </c>
      <c r="C23" s="112" t="str">
        <f t="shared" si="9"/>
        <v>ATK</v>
      </c>
      <c r="D23" s="7" t="s">
        <v>219</v>
      </c>
      <c r="E23" s="8" t="s">
        <v>562</v>
      </c>
      <c r="F23" s="8" t="s">
        <v>562</v>
      </c>
      <c r="G23" s="113">
        <f t="shared" si="10"/>
        <v>2</v>
      </c>
      <c r="H23" s="113" t="str">
        <f t="shared" si="11"/>
        <v>완료</v>
      </c>
      <c r="I23" s="117" t="s">
        <v>412</v>
      </c>
      <c r="J23" s="9" t="s">
        <v>338</v>
      </c>
      <c r="K23" s="10" t="s">
        <v>206</v>
      </c>
      <c r="L23" s="11" t="str">
        <f t="shared" si="12"/>
        <v>1T</v>
      </c>
      <c r="M23" s="18" t="s">
        <v>572</v>
      </c>
      <c r="N23" s="12" t="s">
        <v>506</v>
      </c>
      <c r="O23" s="18" t="s">
        <v>573</v>
      </c>
      <c r="P23" s="197" t="s">
        <v>574</v>
      </c>
      <c r="Q23" s="120" t="s">
        <v>575</v>
      </c>
      <c r="R23" s="13" t="s">
        <v>506</v>
      </c>
      <c r="S23" s="7">
        <v>1</v>
      </c>
      <c r="T23" s="14">
        <v>4200</v>
      </c>
      <c r="U23" s="15">
        <f t="shared" si="4"/>
        <v>2100</v>
      </c>
      <c r="V23" s="14">
        <v>1</v>
      </c>
      <c r="W23" s="15">
        <f t="shared" si="5"/>
        <v>2099</v>
      </c>
      <c r="X23" s="9" t="s">
        <v>495</v>
      </c>
      <c r="Y23" s="7" t="s">
        <v>506</v>
      </c>
      <c r="Z23" s="16">
        <v>4</v>
      </c>
      <c r="AA23" s="17">
        <f t="shared" si="6"/>
        <v>0</v>
      </c>
      <c r="AB23" s="9" t="s">
        <v>422</v>
      </c>
      <c r="AD23" s="181">
        <f t="shared" si="7"/>
        <v>9.0909090909090909E-4</v>
      </c>
    </row>
    <row r="24" spans="2:30">
      <c r="B24" s="189">
        <f t="shared" si="8"/>
        <v>9</v>
      </c>
      <c r="C24" s="112" t="str">
        <f t="shared" si="9"/>
        <v>ATK</v>
      </c>
      <c r="D24" s="7" t="s">
        <v>364</v>
      </c>
      <c r="E24" s="8" t="s">
        <v>562</v>
      </c>
      <c r="F24" s="8" t="s">
        <v>512</v>
      </c>
      <c r="G24" s="113">
        <f t="shared" si="10"/>
        <v>3</v>
      </c>
      <c r="H24" s="113" t="str">
        <f t="shared" si="11"/>
        <v>완료</v>
      </c>
      <c r="I24" s="117" t="s">
        <v>412</v>
      </c>
      <c r="J24" s="9" t="s">
        <v>338</v>
      </c>
      <c r="K24" s="10" t="s">
        <v>251</v>
      </c>
      <c r="L24" s="11" t="str">
        <f t="shared" si="12"/>
        <v>1T</v>
      </c>
      <c r="M24" s="18" t="s">
        <v>385</v>
      </c>
      <c r="N24" s="12" t="s">
        <v>576</v>
      </c>
      <c r="O24" s="18" t="s">
        <v>169</v>
      </c>
      <c r="P24" s="197" t="s">
        <v>506</v>
      </c>
      <c r="Q24" s="120" t="s">
        <v>577</v>
      </c>
      <c r="R24" s="13" t="s">
        <v>506</v>
      </c>
      <c r="S24" s="7">
        <v>1</v>
      </c>
      <c r="T24" s="14">
        <v>1200</v>
      </c>
      <c r="U24" s="15">
        <f t="shared" si="4"/>
        <v>600</v>
      </c>
      <c r="V24" s="14">
        <v>0</v>
      </c>
      <c r="W24" s="15">
        <f t="shared" si="5"/>
        <v>600</v>
      </c>
      <c r="X24" s="9" t="s">
        <v>495</v>
      </c>
      <c r="Y24" s="7" t="s">
        <v>506</v>
      </c>
      <c r="Z24" s="16">
        <v>4</v>
      </c>
      <c r="AA24" s="17">
        <f t="shared" si="6"/>
        <v>4</v>
      </c>
      <c r="AB24" s="9" t="s">
        <v>376</v>
      </c>
      <c r="AD24" s="181">
        <f t="shared" si="7"/>
        <v>0</v>
      </c>
    </row>
    <row r="25" spans="2:30">
      <c r="B25" s="189">
        <f t="shared" si="8"/>
        <v>8</v>
      </c>
      <c r="C25" s="112" t="str">
        <f t="shared" si="9"/>
        <v>ATK</v>
      </c>
      <c r="D25" s="7" t="s">
        <v>578</v>
      </c>
      <c r="E25" s="8" t="s">
        <v>579</v>
      </c>
      <c r="F25" s="8" t="s">
        <v>579</v>
      </c>
      <c r="G25" s="113">
        <f t="shared" si="10"/>
        <v>2</v>
      </c>
      <c r="H25" s="113" t="str">
        <f t="shared" si="11"/>
        <v>완료</v>
      </c>
      <c r="I25" s="117" t="s">
        <v>412</v>
      </c>
      <c r="J25" s="9" t="s">
        <v>198</v>
      </c>
      <c r="K25" s="10" t="s">
        <v>186</v>
      </c>
      <c r="L25" s="11" t="str">
        <f t="shared" si="12"/>
        <v>3T</v>
      </c>
      <c r="M25" s="18" t="s">
        <v>192</v>
      </c>
      <c r="N25" s="12" t="s">
        <v>580</v>
      </c>
      <c r="O25" s="18" t="s">
        <v>581</v>
      </c>
      <c r="P25" s="197" t="s">
        <v>506</v>
      </c>
      <c r="Q25" s="120" t="s">
        <v>582</v>
      </c>
      <c r="R25" s="13" t="s">
        <v>506</v>
      </c>
      <c r="S25" s="7">
        <v>1</v>
      </c>
      <c r="T25" s="14">
        <v>1300</v>
      </c>
      <c r="U25" s="15">
        <f t="shared" si="4"/>
        <v>650</v>
      </c>
      <c r="V25" s="14">
        <v>1</v>
      </c>
      <c r="W25" s="15">
        <f t="shared" si="5"/>
        <v>649</v>
      </c>
      <c r="X25" s="9" t="s">
        <v>495</v>
      </c>
      <c r="Y25" s="7" t="s">
        <v>506</v>
      </c>
      <c r="Z25" s="16">
        <v>2</v>
      </c>
      <c r="AA25" s="17">
        <f t="shared" si="6"/>
        <v>0</v>
      </c>
      <c r="AB25" s="9" t="s">
        <v>213</v>
      </c>
      <c r="AD25" s="181">
        <f t="shared" si="7"/>
        <v>9.0909090909090909E-4</v>
      </c>
    </row>
    <row r="26" spans="2:30" ht="26.25" customHeight="1">
      <c r="B26" s="189">
        <f t="shared" si="8"/>
        <v>8</v>
      </c>
      <c r="C26" s="112" t="str">
        <f t="shared" si="9"/>
        <v>ATK</v>
      </c>
      <c r="D26" s="7" t="s">
        <v>273</v>
      </c>
      <c r="E26" s="8" t="s">
        <v>579</v>
      </c>
      <c r="F26" s="8" t="s">
        <v>579</v>
      </c>
      <c r="G26" s="113">
        <f t="shared" si="10"/>
        <v>2</v>
      </c>
      <c r="H26" s="113" t="str">
        <f t="shared" si="11"/>
        <v>완료</v>
      </c>
      <c r="I26" s="117" t="s">
        <v>412</v>
      </c>
      <c r="J26" s="9" t="s">
        <v>198</v>
      </c>
      <c r="K26" s="10" t="s">
        <v>199</v>
      </c>
      <c r="L26" s="11" t="str">
        <f t="shared" si="12"/>
        <v>3T</v>
      </c>
      <c r="M26" s="18" t="s">
        <v>583</v>
      </c>
      <c r="N26" s="12" t="s">
        <v>584</v>
      </c>
      <c r="O26" s="18" t="s">
        <v>471</v>
      </c>
      <c r="P26" s="197" t="s">
        <v>585</v>
      </c>
      <c r="Q26" s="120" t="s">
        <v>586</v>
      </c>
      <c r="R26" s="13" t="s">
        <v>506</v>
      </c>
      <c r="S26" s="7">
        <v>2</v>
      </c>
      <c r="T26" s="14">
        <v>1000</v>
      </c>
      <c r="U26" s="15">
        <f t="shared" si="4"/>
        <v>1000</v>
      </c>
      <c r="V26" s="14">
        <v>0</v>
      </c>
      <c r="W26" s="15">
        <f t="shared" si="5"/>
        <v>1000</v>
      </c>
      <c r="X26" s="9" t="s">
        <v>495</v>
      </c>
      <c r="Y26" s="7" t="s">
        <v>506</v>
      </c>
      <c r="Z26" s="16">
        <v>6</v>
      </c>
      <c r="AA26" s="17">
        <f t="shared" si="6"/>
        <v>0</v>
      </c>
      <c r="AB26" s="9" t="s">
        <v>141</v>
      </c>
      <c r="AD26" s="181">
        <f t="shared" si="7"/>
        <v>0</v>
      </c>
    </row>
    <row r="27" spans="2:30">
      <c r="B27" s="189">
        <f t="shared" si="8"/>
        <v>8</v>
      </c>
      <c r="C27" s="112" t="str">
        <f t="shared" si="9"/>
        <v>ATK</v>
      </c>
      <c r="D27" s="7" t="s">
        <v>558</v>
      </c>
      <c r="E27" s="8" t="s">
        <v>579</v>
      </c>
      <c r="F27" s="8" t="s">
        <v>579</v>
      </c>
      <c r="G27" s="113">
        <f t="shared" si="10"/>
        <v>2</v>
      </c>
      <c r="H27" s="113" t="str">
        <f t="shared" si="11"/>
        <v>Other</v>
      </c>
      <c r="I27" s="117" t="s">
        <v>419</v>
      </c>
      <c r="J27" s="9" t="s">
        <v>392</v>
      </c>
      <c r="K27" s="10" t="s">
        <v>393</v>
      </c>
      <c r="L27" s="11" t="str">
        <f t="shared" si="12"/>
        <v>EE</v>
      </c>
      <c r="M27" s="18" t="s">
        <v>423</v>
      </c>
      <c r="N27" s="18" t="s">
        <v>423</v>
      </c>
      <c r="O27" s="12" t="s">
        <v>559</v>
      </c>
      <c r="P27" s="198" t="s">
        <v>506</v>
      </c>
      <c r="Q27" s="120" t="s">
        <v>560</v>
      </c>
      <c r="R27" s="13" t="s">
        <v>506</v>
      </c>
      <c r="S27" s="7">
        <v>3</v>
      </c>
      <c r="T27" s="14">
        <v>0</v>
      </c>
      <c r="U27" s="15">
        <f t="shared" si="4"/>
        <v>0</v>
      </c>
      <c r="V27" s="14">
        <v>0</v>
      </c>
      <c r="W27" s="15">
        <f t="shared" si="5"/>
        <v>0</v>
      </c>
      <c r="X27" s="9" t="s">
        <v>495</v>
      </c>
      <c r="Y27" s="7" t="s">
        <v>506</v>
      </c>
      <c r="Z27" s="16">
        <v>3</v>
      </c>
      <c r="AA27" s="17">
        <f t="shared" si="6"/>
        <v>0</v>
      </c>
      <c r="AB27" s="9" t="s">
        <v>376</v>
      </c>
      <c r="AD27" s="181">
        <f t="shared" si="7"/>
        <v>0</v>
      </c>
    </row>
    <row r="28" spans="2:30">
      <c r="B28" s="189">
        <f t="shared" si="8"/>
        <v>8</v>
      </c>
      <c r="C28" s="112" t="str">
        <f t="shared" si="9"/>
        <v>ATK</v>
      </c>
      <c r="D28" s="7" t="s">
        <v>351</v>
      </c>
      <c r="E28" s="8" t="s">
        <v>579</v>
      </c>
      <c r="F28" s="8" t="s">
        <v>579</v>
      </c>
      <c r="G28" s="113">
        <f t="shared" si="10"/>
        <v>2</v>
      </c>
      <c r="H28" s="113" t="str">
        <f t="shared" si="11"/>
        <v>완료</v>
      </c>
      <c r="I28" s="117" t="s">
        <v>412</v>
      </c>
      <c r="J28" s="9" t="s">
        <v>352</v>
      </c>
      <c r="K28" s="10" t="s">
        <v>352</v>
      </c>
      <c r="L28" s="11" t="str">
        <f t="shared" si="12"/>
        <v>K5</v>
      </c>
      <c r="M28" s="18" t="s">
        <v>157</v>
      </c>
      <c r="N28" s="12" t="s">
        <v>587</v>
      </c>
      <c r="O28" s="18" t="s">
        <v>588</v>
      </c>
      <c r="P28" s="197" t="s">
        <v>506</v>
      </c>
      <c r="Q28" s="120" t="s">
        <v>589</v>
      </c>
      <c r="R28" s="13" t="s">
        <v>506</v>
      </c>
      <c r="S28" s="7">
        <v>1</v>
      </c>
      <c r="T28" s="14">
        <v>500</v>
      </c>
      <c r="U28" s="15">
        <f t="shared" si="4"/>
        <v>250</v>
      </c>
      <c r="V28" s="14">
        <v>0</v>
      </c>
      <c r="W28" s="15">
        <f t="shared" si="5"/>
        <v>250</v>
      </c>
      <c r="X28" s="9" t="s">
        <v>495</v>
      </c>
      <c r="Y28" s="7" t="s">
        <v>506</v>
      </c>
      <c r="Z28" s="16">
        <v>6</v>
      </c>
      <c r="AA28" s="17">
        <f t="shared" si="6"/>
        <v>0</v>
      </c>
      <c r="AB28" s="9" t="s">
        <v>494</v>
      </c>
      <c r="AD28" s="181">
        <f t="shared" si="7"/>
        <v>0</v>
      </c>
    </row>
    <row r="29" spans="2:30" ht="15.75" customHeight="1">
      <c r="B29" s="189" t="e">
        <f t="shared" si="8"/>
        <v>#VALUE!</v>
      </c>
      <c r="C29" s="112" t="str">
        <f t="shared" si="9"/>
        <v>ATK</v>
      </c>
      <c r="D29" s="7" t="s">
        <v>590</v>
      </c>
      <c r="E29" s="8" t="s">
        <v>579</v>
      </c>
      <c r="F29" s="8" t="s">
        <v>506</v>
      </c>
      <c r="G29" s="113" t="e">
        <f t="shared" si="10"/>
        <v>#VALUE!</v>
      </c>
      <c r="H29" s="113" t="str">
        <f t="shared" si="11"/>
        <v>수리중</v>
      </c>
      <c r="I29" s="117" t="s">
        <v>390</v>
      </c>
      <c r="J29" s="9" t="s">
        <v>377</v>
      </c>
      <c r="K29" s="10" t="s">
        <v>377</v>
      </c>
      <c r="L29" s="11" t="str">
        <f t="shared" si="12"/>
        <v>Bu</v>
      </c>
      <c r="M29" s="18" t="s">
        <v>591</v>
      </c>
      <c r="N29" s="12" t="s">
        <v>164</v>
      </c>
      <c r="O29" s="18" t="s">
        <v>592</v>
      </c>
      <c r="P29" s="197" t="s">
        <v>476</v>
      </c>
      <c r="Q29" s="120" t="s">
        <v>593</v>
      </c>
      <c r="R29" s="13" t="s">
        <v>594</v>
      </c>
      <c r="S29" s="7">
        <v>1</v>
      </c>
      <c r="T29" s="14">
        <v>13000</v>
      </c>
      <c r="U29" s="15">
        <f t="shared" si="4"/>
        <v>6500</v>
      </c>
      <c r="V29" s="14">
        <v>1500</v>
      </c>
      <c r="W29" s="15">
        <f t="shared" si="5"/>
        <v>5000</v>
      </c>
      <c r="X29" s="9" t="s">
        <v>236</v>
      </c>
      <c r="Y29" s="7" t="s">
        <v>237</v>
      </c>
      <c r="Z29" s="16">
        <v>1</v>
      </c>
      <c r="AA29" s="17" t="e">
        <f t="shared" si="6"/>
        <v>#VALUE!</v>
      </c>
      <c r="AB29" s="9" t="s">
        <v>213</v>
      </c>
      <c r="AD29" s="181">
        <f t="shared" si="7"/>
        <v>1.3636363636363635</v>
      </c>
    </row>
    <row r="30" spans="2:30">
      <c r="B30" s="189" t="e">
        <f t="shared" si="8"/>
        <v>#VALUE!</v>
      </c>
      <c r="C30" s="112" t="str">
        <f t="shared" si="9"/>
        <v>ATK</v>
      </c>
      <c r="D30" s="7" t="s">
        <v>379</v>
      </c>
      <c r="E30" s="8" t="s">
        <v>579</v>
      </c>
      <c r="F30" s="8" t="s">
        <v>506</v>
      </c>
      <c r="G30" s="113" t="e">
        <f t="shared" si="10"/>
        <v>#VALUE!</v>
      </c>
      <c r="H30" s="113" t="str">
        <f t="shared" si="11"/>
        <v>수리중</v>
      </c>
      <c r="I30" s="117" t="s">
        <v>490</v>
      </c>
      <c r="J30" s="9" t="s">
        <v>392</v>
      </c>
      <c r="K30" s="10" t="s">
        <v>393</v>
      </c>
      <c r="L30" s="11" t="str">
        <f t="shared" si="12"/>
        <v>EE</v>
      </c>
      <c r="M30" s="18" t="s">
        <v>591</v>
      </c>
      <c r="N30" s="12" t="s">
        <v>595</v>
      </c>
      <c r="O30" s="18" t="s">
        <v>596</v>
      </c>
      <c r="P30" s="197" t="s">
        <v>506</v>
      </c>
      <c r="Q30" s="120" t="s">
        <v>597</v>
      </c>
      <c r="R30" s="13" t="s">
        <v>506</v>
      </c>
      <c r="S30" s="7">
        <v>1</v>
      </c>
      <c r="T30" s="14">
        <v>1000</v>
      </c>
      <c r="U30" s="15">
        <f t="shared" ref="U30:U31" si="13">(T30*50)/100*S30</f>
        <v>500</v>
      </c>
      <c r="V30" s="14">
        <v>0</v>
      </c>
      <c r="W30" s="15">
        <f t="shared" ref="W30:W31" si="14">U30-V30</f>
        <v>500</v>
      </c>
      <c r="X30" s="9" t="s">
        <v>495</v>
      </c>
      <c r="Y30" s="7" t="s">
        <v>506</v>
      </c>
      <c r="Z30" s="16">
        <v>0</v>
      </c>
      <c r="AA30" s="17" t="e">
        <f t="shared" ref="AA30:AA31" si="15">F30-E30</f>
        <v>#VALUE!</v>
      </c>
      <c r="AB30" s="9" t="s">
        <v>494</v>
      </c>
      <c r="AD30" s="181">
        <f t="shared" si="7"/>
        <v>0</v>
      </c>
    </row>
    <row r="31" spans="2:30">
      <c r="B31" s="189">
        <f t="shared" si="8"/>
        <v>8</v>
      </c>
      <c r="C31" s="112" t="str">
        <f t="shared" si="9"/>
        <v>ATK</v>
      </c>
      <c r="D31" s="7" t="s">
        <v>598</v>
      </c>
      <c r="E31" s="8" t="s">
        <v>599</v>
      </c>
      <c r="F31" s="8" t="s">
        <v>599</v>
      </c>
      <c r="G31" s="113">
        <f t="shared" si="10"/>
        <v>2</v>
      </c>
      <c r="H31" s="113" t="str">
        <f t="shared" si="11"/>
        <v>완료</v>
      </c>
      <c r="I31" s="117" t="s">
        <v>412</v>
      </c>
      <c r="J31" s="9" t="s">
        <v>392</v>
      </c>
      <c r="K31" s="10" t="s">
        <v>485</v>
      </c>
      <c r="L31" s="11" t="str">
        <f t="shared" si="12"/>
        <v>EE</v>
      </c>
      <c r="M31" s="18" t="s">
        <v>438</v>
      </c>
      <c r="N31" s="12" t="s">
        <v>600</v>
      </c>
      <c r="O31" s="18" t="s">
        <v>601</v>
      </c>
      <c r="P31" s="197" t="s">
        <v>506</v>
      </c>
      <c r="Q31" s="120" t="s">
        <v>602</v>
      </c>
      <c r="R31" s="13" t="s">
        <v>603</v>
      </c>
      <c r="S31" s="7">
        <v>1</v>
      </c>
      <c r="T31" s="14">
        <v>2500</v>
      </c>
      <c r="U31" s="15">
        <f t="shared" si="13"/>
        <v>1250</v>
      </c>
      <c r="V31" s="14">
        <v>5</v>
      </c>
      <c r="W31" s="15">
        <f t="shared" si="14"/>
        <v>1245</v>
      </c>
      <c r="X31" s="9" t="s">
        <v>495</v>
      </c>
      <c r="Y31" s="7" t="s">
        <v>506</v>
      </c>
      <c r="Z31" s="16">
        <v>0</v>
      </c>
      <c r="AA31" s="17">
        <f t="shared" si="15"/>
        <v>0</v>
      </c>
      <c r="AB31" s="9" t="s">
        <v>213</v>
      </c>
      <c r="AD31" s="181">
        <f t="shared" si="7"/>
        <v>4.5454545454545452E-3</v>
      </c>
    </row>
    <row r="32" spans="2:30">
      <c r="B32" s="189">
        <f t="shared" si="8"/>
        <v>8</v>
      </c>
      <c r="C32" s="112" t="str">
        <f t="shared" si="9"/>
        <v>ATK</v>
      </c>
      <c r="D32" s="7" t="s">
        <v>191</v>
      </c>
      <c r="E32" s="8" t="s">
        <v>599</v>
      </c>
      <c r="F32" s="8" t="s">
        <v>599</v>
      </c>
      <c r="G32" s="113">
        <f t="shared" si="10"/>
        <v>2</v>
      </c>
      <c r="H32" s="113" t="str">
        <f t="shared" si="11"/>
        <v>완료</v>
      </c>
      <c r="I32" s="117" t="s">
        <v>412</v>
      </c>
      <c r="J32" s="9" t="s">
        <v>392</v>
      </c>
      <c r="K32" s="10" t="s">
        <v>393</v>
      </c>
      <c r="L32" s="11" t="str">
        <f t="shared" si="12"/>
        <v>EE</v>
      </c>
      <c r="M32" s="18" t="s">
        <v>339</v>
      </c>
      <c r="N32" s="12" t="s">
        <v>604</v>
      </c>
      <c r="O32" s="18" t="s">
        <v>605</v>
      </c>
      <c r="P32" s="197" t="s">
        <v>606</v>
      </c>
      <c r="Q32" s="120" t="s">
        <v>607</v>
      </c>
      <c r="R32" s="13" t="s">
        <v>506</v>
      </c>
      <c r="S32" s="7">
        <v>1</v>
      </c>
      <c r="T32" s="14">
        <v>1600</v>
      </c>
      <c r="U32" s="15">
        <f t="shared" si="4"/>
        <v>800</v>
      </c>
      <c r="V32" s="14">
        <v>3</v>
      </c>
      <c r="W32" s="15">
        <f t="shared" si="5"/>
        <v>797</v>
      </c>
      <c r="X32" s="9" t="s">
        <v>495</v>
      </c>
      <c r="Y32" s="7" t="s">
        <v>506</v>
      </c>
      <c r="Z32" s="16">
        <v>3</v>
      </c>
      <c r="AA32" s="17">
        <f t="shared" si="6"/>
        <v>0</v>
      </c>
      <c r="AB32" s="9" t="s">
        <v>376</v>
      </c>
      <c r="AD32" s="181">
        <f t="shared" si="7"/>
        <v>2.7272727272727275E-3</v>
      </c>
    </row>
    <row r="33" spans="2:30">
      <c r="B33" s="189">
        <f t="shared" si="8"/>
        <v>8</v>
      </c>
      <c r="C33" s="112" t="str">
        <f t="shared" si="9"/>
        <v>ATK</v>
      </c>
      <c r="D33" s="7" t="s">
        <v>324</v>
      </c>
      <c r="E33" s="8" t="s">
        <v>599</v>
      </c>
      <c r="F33" s="8" t="s">
        <v>599</v>
      </c>
      <c r="G33" s="113">
        <f t="shared" si="10"/>
        <v>2</v>
      </c>
      <c r="H33" s="113" t="str">
        <f t="shared" si="11"/>
        <v>완료</v>
      </c>
      <c r="I33" s="117" t="s">
        <v>412</v>
      </c>
      <c r="J33" s="9" t="s">
        <v>198</v>
      </c>
      <c r="K33" s="10" t="s">
        <v>199</v>
      </c>
      <c r="L33" s="11" t="str">
        <f t="shared" si="12"/>
        <v>3T</v>
      </c>
      <c r="M33" s="18" t="s">
        <v>182</v>
      </c>
      <c r="N33" s="12" t="s">
        <v>383</v>
      </c>
      <c r="O33" s="18" t="s">
        <v>182</v>
      </c>
      <c r="P33" s="197" t="s">
        <v>506</v>
      </c>
      <c r="Q33" s="120" t="s">
        <v>608</v>
      </c>
      <c r="R33" s="13" t="s">
        <v>506</v>
      </c>
      <c r="S33" s="7">
        <v>3</v>
      </c>
      <c r="T33" s="14">
        <v>351</v>
      </c>
      <c r="U33" s="15">
        <f t="shared" si="4"/>
        <v>526.5</v>
      </c>
      <c r="V33" s="14">
        <v>0</v>
      </c>
      <c r="W33" s="15">
        <f t="shared" si="5"/>
        <v>526.5</v>
      </c>
      <c r="X33" s="9" t="s">
        <v>495</v>
      </c>
      <c r="Y33" s="7" t="s">
        <v>506</v>
      </c>
      <c r="Z33" s="16">
        <v>3</v>
      </c>
      <c r="AA33" s="17">
        <f t="shared" si="6"/>
        <v>0</v>
      </c>
      <c r="AB33" s="9" t="s">
        <v>494</v>
      </c>
      <c r="AD33" s="181">
        <f t="shared" si="7"/>
        <v>0</v>
      </c>
    </row>
    <row r="34" spans="2:30">
      <c r="B34" s="189">
        <f t="shared" si="8"/>
        <v>8</v>
      </c>
      <c r="C34" s="112" t="str">
        <f t="shared" si="9"/>
        <v>ATK</v>
      </c>
      <c r="D34" s="7" t="s">
        <v>404</v>
      </c>
      <c r="E34" s="8" t="s">
        <v>599</v>
      </c>
      <c r="F34" s="8" t="s">
        <v>599</v>
      </c>
      <c r="G34" s="113">
        <f t="shared" si="10"/>
        <v>2</v>
      </c>
      <c r="H34" s="113" t="str">
        <f t="shared" si="11"/>
        <v>완료</v>
      </c>
      <c r="I34" s="117" t="s">
        <v>412</v>
      </c>
      <c r="J34" s="9" t="s">
        <v>491</v>
      </c>
      <c r="K34" s="10" t="s">
        <v>492</v>
      </c>
      <c r="L34" s="11" t="str">
        <f t="shared" si="12"/>
        <v>5T</v>
      </c>
      <c r="M34" s="18" t="s">
        <v>243</v>
      </c>
      <c r="N34" s="12" t="s">
        <v>609</v>
      </c>
      <c r="O34" s="18" t="s">
        <v>610</v>
      </c>
      <c r="P34" s="197" t="s">
        <v>506</v>
      </c>
      <c r="Q34" s="120" t="s">
        <v>532</v>
      </c>
      <c r="R34" s="13" t="s">
        <v>506</v>
      </c>
      <c r="S34" s="7">
        <v>3</v>
      </c>
      <c r="T34" s="14">
        <v>500</v>
      </c>
      <c r="U34" s="15">
        <f t="shared" si="4"/>
        <v>750</v>
      </c>
      <c r="V34" s="14">
        <v>30</v>
      </c>
      <c r="W34" s="15">
        <f t="shared" si="5"/>
        <v>720</v>
      </c>
      <c r="X34" s="9" t="s">
        <v>495</v>
      </c>
      <c r="Y34" s="7" t="s">
        <v>506</v>
      </c>
      <c r="Z34" s="16">
        <v>6</v>
      </c>
      <c r="AA34" s="17">
        <f t="shared" si="6"/>
        <v>0</v>
      </c>
      <c r="AB34" s="9" t="s">
        <v>213</v>
      </c>
      <c r="AD34" s="181">
        <f t="shared" si="7"/>
        <v>2.7272727272727271E-2</v>
      </c>
    </row>
    <row r="35" spans="2:30" ht="24">
      <c r="B35" s="189">
        <f t="shared" si="8"/>
        <v>9</v>
      </c>
      <c r="C35" s="112" t="str">
        <f t="shared" si="9"/>
        <v>ATK</v>
      </c>
      <c r="D35" s="7" t="s">
        <v>404</v>
      </c>
      <c r="E35" s="8" t="s">
        <v>599</v>
      </c>
      <c r="F35" s="8" t="s">
        <v>512</v>
      </c>
      <c r="G35" s="113">
        <f t="shared" si="10"/>
        <v>3</v>
      </c>
      <c r="H35" s="113" t="str">
        <f t="shared" si="11"/>
        <v>Other</v>
      </c>
      <c r="I35" s="117" t="s">
        <v>401</v>
      </c>
      <c r="J35" s="9" t="s">
        <v>491</v>
      </c>
      <c r="K35" s="10" t="s">
        <v>492</v>
      </c>
      <c r="L35" s="11" t="str">
        <f t="shared" si="12"/>
        <v>5T</v>
      </c>
      <c r="M35" s="18" t="s">
        <v>182</v>
      </c>
      <c r="N35" s="12" t="s">
        <v>611</v>
      </c>
      <c r="O35" s="18" t="s">
        <v>182</v>
      </c>
      <c r="P35" s="197" t="s">
        <v>506</v>
      </c>
      <c r="Q35" s="120" t="s">
        <v>612</v>
      </c>
      <c r="R35" s="13" t="s">
        <v>613</v>
      </c>
      <c r="S35" s="7">
        <v>5</v>
      </c>
      <c r="T35" s="14">
        <v>1500</v>
      </c>
      <c r="U35" s="15">
        <f t="shared" si="4"/>
        <v>3750</v>
      </c>
      <c r="V35" s="14">
        <v>0</v>
      </c>
      <c r="W35" s="15">
        <f t="shared" si="5"/>
        <v>3750</v>
      </c>
      <c r="X35" s="9" t="s">
        <v>495</v>
      </c>
      <c r="Y35" s="7" t="s">
        <v>506</v>
      </c>
      <c r="Z35" s="16">
        <v>3</v>
      </c>
      <c r="AA35" s="17">
        <f t="shared" si="6"/>
        <v>6</v>
      </c>
      <c r="AB35" s="9" t="s">
        <v>494</v>
      </c>
      <c r="AD35" s="181">
        <f t="shared" si="7"/>
        <v>0</v>
      </c>
    </row>
    <row r="36" spans="2:30">
      <c r="B36" s="189">
        <f t="shared" si="8"/>
        <v>8</v>
      </c>
      <c r="C36" s="112" t="str">
        <f t="shared" si="9"/>
        <v>ATK</v>
      </c>
      <c r="D36" s="7" t="s">
        <v>614</v>
      </c>
      <c r="E36" s="8" t="s">
        <v>615</v>
      </c>
      <c r="F36" s="8" t="s">
        <v>579</v>
      </c>
      <c r="G36" s="113">
        <f t="shared" si="10"/>
        <v>2</v>
      </c>
      <c r="H36" s="113" t="str">
        <f t="shared" si="11"/>
        <v>완료</v>
      </c>
      <c r="I36" s="117" t="s">
        <v>412</v>
      </c>
      <c r="J36" s="9" t="s">
        <v>338</v>
      </c>
      <c r="K36" s="10" t="s">
        <v>206</v>
      </c>
      <c r="L36" s="11" t="str">
        <f t="shared" si="12"/>
        <v>1T</v>
      </c>
      <c r="M36" s="18" t="s">
        <v>353</v>
      </c>
      <c r="N36" s="12" t="s">
        <v>156</v>
      </c>
      <c r="O36" s="18" t="s">
        <v>157</v>
      </c>
      <c r="P36" s="197" t="s">
        <v>506</v>
      </c>
      <c r="Q36" s="120" t="s">
        <v>616</v>
      </c>
      <c r="R36" s="13" t="s">
        <v>506</v>
      </c>
      <c r="S36" s="7">
        <v>1</v>
      </c>
      <c r="T36" s="14">
        <v>3000</v>
      </c>
      <c r="U36" s="15">
        <f t="shared" si="4"/>
        <v>1500</v>
      </c>
      <c r="V36" s="14">
        <v>3</v>
      </c>
      <c r="W36" s="15">
        <f t="shared" si="5"/>
        <v>1497</v>
      </c>
      <c r="X36" s="9" t="s">
        <v>495</v>
      </c>
      <c r="Y36" s="7" t="s">
        <v>506</v>
      </c>
      <c r="Z36" s="16">
        <v>2</v>
      </c>
      <c r="AA36" s="17">
        <f t="shared" si="6"/>
        <v>2</v>
      </c>
      <c r="AB36" s="9" t="s">
        <v>494</v>
      </c>
      <c r="AD36" s="181">
        <f t="shared" si="7"/>
        <v>2.7272727272727275E-3</v>
      </c>
    </row>
    <row r="37" spans="2:30">
      <c r="B37" s="189">
        <f t="shared" si="8"/>
        <v>8</v>
      </c>
      <c r="C37" s="112" t="str">
        <f t="shared" si="9"/>
        <v>ATK</v>
      </c>
      <c r="D37" s="7" t="s">
        <v>415</v>
      </c>
      <c r="E37" s="8" t="s">
        <v>615</v>
      </c>
      <c r="F37" s="8" t="s">
        <v>615</v>
      </c>
      <c r="G37" s="113">
        <f t="shared" si="10"/>
        <v>2</v>
      </c>
      <c r="H37" s="113" t="str">
        <f t="shared" si="11"/>
        <v>완료</v>
      </c>
      <c r="I37" s="117" t="s">
        <v>412</v>
      </c>
      <c r="J37" s="9" t="s">
        <v>491</v>
      </c>
      <c r="K37" s="10" t="s">
        <v>492</v>
      </c>
      <c r="L37" s="11" t="str">
        <f t="shared" si="12"/>
        <v>5T</v>
      </c>
      <c r="M37" s="18" t="s">
        <v>385</v>
      </c>
      <c r="N37" s="12" t="s">
        <v>617</v>
      </c>
      <c r="O37" s="18" t="s">
        <v>618</v>
      </c>
      <c r="P37" s="197" t="s">
        <v>506</v>
      </c>
      <c r="Q37" s="120" t="s">
        <v>619</v>
      </c>
      <c r="R37" s="13" t="s">
        <v>506</v>
      </c>
      <c r="S37" s="7">
        <v>1</v>
      </c>
      <c r="T37" s="14">
        <v>1900</v>
      </c>
      <c r="U37" s="15">
        <f t="shared" si="4"/>
        <v>950</v>
      </c>
      <c r="V37" s="14">
        <v>4</v>
      </c>
      <c r="W37" s="15">
        <f t="shared" si="5"/>
        <v>946</v>
      </c>
      <c r="X37" s="9" t="s">
        <v>495</v>
      </c>
      <c r="Y37" s="7" t="s">
        <v>506</v>
      </c>
      <c r="Z37" s="16">
        <v>2</v>
      </c>
      <c r="AA37" s="17">
        <f t="shared" si="6"/>
        <v>0</v>
      </c>
      <c r="AB37" s="9" t="s">
        <v>213</v>
      </c>
      <c r="AD37" s="181">
        <f t="shared" si="7"/>
        <v>3.6363636363636364E-3</v>
      </c>
    </row>
    <row r="38" spans="2:30">
      <c r="B38" s="189">
        <f t="shared" si="8"/>
        <v>8</v>
      </c>
      <c r="C38" s="112" t="str">
        <f t="shared" si="9"/>
        <v>ATK</v>
      </c>
      <c r="D38" s="7" t="s">
        <v>415</v>
      </c>
      <c r="E38" s="8" t="s">
        <v>615</v>
      </c>
      <c r="F38" s="8" t="s">
        <v>615</v>
      </c>
      <c r="G38" s="113">
        <f t="shared" si="10"/>
        <v>2</v>
      </c>
      <c r="H38" s="113" t="str">
        <f t="shared" si="11"/>
        <v>Other</v>
      </c>
      <c r="I38" s="117" t="s">
        <v>401</v>
      </c>
      <c r="J38" s="9" t="s">
        <v>491</v>
      </c>
      <c r="K38" s="10" t="s">
        <v>492</v>
      </c>
      <c r="L38" s="11" t="str">
        <f t="shared" si="12"/>
        <v>5T</v>
      </c>
      <c r="M38" s="18" t="s">
        <v>385</v>
      </c>
      <c r="N38" s="12" t="s">
        <v>617</v>
      </c>
      <c r="O38" s="18" t="s">
        <v>618</v>
      </c>
      <c r="P38" s="197" t="s">
        <v>506</v>
      </c>
      <c r="Q38" s="120" t="s">
        <v>620</v>
      </c>
      <c r="R38" s="13" t="s">
        <v>506</v>
      </c>
      <c r="S38" s="7">
        <v>1</v>
      </c>
      <c r="T38" s="14">
        <v>1900</v>
      </c>
      <c r="U38" s="15">
        <f t="shared" si="4"/>
        <v>950</v>
      </c>
      <c r="V38" s="14">
        <v>0</v>
      </c>
      <c r="W38" s="15">
        <f t="shared" si="5"/>
        <v>950</v>
      </c>
      <c r="X38" s="9" t="s">
        <v>495</v>
      </c>
      <c r="Y38" s="7" t="s">
        <v>506</v>
      </c>
      <c r="Z38" s="16">
        <v>2</v>
      </c>
      <c r="AA38" s="17">
        <f t="shared" si="6"/>
        <v>0</v>
      </c>
      <c r="AB38" s="9" t="s">
        <v>213</v>
      </c>
      <c r="AD38" s="181">
        <f t="shared" si="7"/>
        <v>0</v>
      </c>
    </row>
    <row r="39" spans="2:30">
      <c r="B39" s="189">
        <f t="shared" si="8"/>
        <v>8</v>
      </c>
      <c r="C39" s="112" t="str">
        <f t="shared" si="9"/>
        <v>ATK</v>
      </c>
      <c r="D39" s="7" t="s">
        <v>578</v>
      </c>
      <c r="E39" s="8" t="s">
        <v>615</v>
      </c>
      <c r="F39" s="8" t="s">
        <v>615</v>
      </c>
      <c r="G39" s="113">
        <f t="shared" si="10"/>
        <v>2</v>
      </c>
      <c r="H39" s="113" t="str">
        <f t="shared" si="11"/>
        <v>완료</v>
      </c>
      <c r="I39" s="117" t="s">
        <v>412</v>
      </c>
      <c r="J39" s="9" t="s">
        <v>198</v>
      </c>
      <c r="K39" s="10" t="s">
        <v>186</v>
      </c>
      <c r="L39" s="11" t="str">
        <f t="shared" si="12"/>
        <v>3T</v>
      </c>
      <c r="M39" s="18" t="s">
        <v>192</v>
      </c>
      <c r="N39" s="12" t="s">
        <v>580</v>
      </c>
      <c r="O39" s="18" t="s">
        <v>581</v>
      </c>
      <c r="P39" s="197" t="s">
        <v>506</v>
      </c>
      <c r="Q39" s="120" t="s">
        <v>621</v>
      </c>
      <c r="R39" s="13" t="s">
        <v>506</v>
      </c>
      <c r="S39" s="7">
        <v>1</v>
      </c>
      <c r="T39" s="14">
        <v>1300</v>
      </c>
      <c r="U39" s="15">
        <f t="shared" si="4"/>
        <v>650</v>
      </c>
      <c r="V39" s="14">
        <v>0</v>
      </c>
      <c r="W39" s="15">
        <f t="shared" si="5"/>
        <v>650</v>
      </c>
      <c r="X39" s="9" t="s">
        <v>495</v>
      </c>
      <c r="Y39" s="7" t="s">
        <v>506</v>
      </c>
      <c r="Z39" s="16">
        <v>2</v>
      </c>
      <c r="AA39" s="17">
        <f t="shared" si="6"/>
        <v>0</v>
      </c>
      <c r="AB39" s="9" t="s">
        <v>213</v>
      </c>
      <c r="AD39" s="181">
        <f t="shared" si="7"/>
        <v>0</v>
      </c>
    </row>
    <row r="40" spans="2:30">
      <c r="B40" s="189">
        <f t="shared" si="8"/>
        <v>8</v>
      </c>
      <c r="C40" s="112" t="str">
        <f t="shared" si="9"/>
        <v>ATK</v>
      </c>
      <c r="D40" s="7" t="s">
        <v>159</v>
      </c>
      <c r="E40" s="8" t="s">
        <v>615</v>
      </c>
      <c r="F40" s="8" t="s">
        <v>615</v>
      </c>
      <c r="G40" s="113">
        <f t="shared" si="10"/>
        <v>2</v>
      </c>
      <c r="H40" s="113" t="str">
        <f t="shared" si="11"/>
        <v>완료</v>
      </c>
      <c r="I40" s="117" t="s">
        <v>412</v>
      </c>
      <c r="J40" s="9" t="s">
        <v>491</v>
      </c>
      <c r="K40" s="10" t="s">
        <v>492</v>
      </c>
      <c r="L40" s="11" t="str">
        <f t="shared" si="12"/>
        <v>5T</v>
      </c>
      <c r="M40" s="18" t="s">
        <v>622</v>
      </c>
      <c r="N40" s="12" t="s">
        <v>623</v>
      </c>
      <c r="O40" s="18" t="s">
        <v>624</v>
      </c>
      <c r="P40" s="197" t="s">
        <v>506</v>
      </c>
      <c r="Q40" s="120" t="s">
        <v>625</v>
      </c>
      <c r="R40" s="13" t="s">
        <v>506</v>
      </c>
      <c r="S40" s="7">
        <v>1</v>
      </c>
      <c r="T40" s="14">
        <v>3500</v>
      </c>
      <c r="U40" s="15">
        <f t="shared" si="4"/>
        <v>1750</v>
      </c>
      <c r="V40" s="14">
        <v>0</v>
      </c>
      <c r="W40" s="15">
        <f t="shared" si="5"/>
        <v>1750</v>
      </c>
      <c r="X40" s="9" t="s">
        <v>495</v>
      </c>
      <c r="Y40" s="7" t="s">
        <v>506</v>
      </c>
      <c r="Z40" s="16">
        <v>2</v>
      </c>
      <c r="AA40" s="17">
        <f t="shared" si="6"/>
        <v>0</v>
      </c>
      <c r="AB40" s="9" t="s">
        <v>494</v>
      </c>
      <c r="AD40" s="181">
        <f t="shared" si="7"/>
        <v>0</v>
      </c>
    </row>
    <row r="41" spans="2:30" ht="26.25" customHeight="1">
      <c r="B41" s="189" t="e">
        <f t="shared" si="8"/>
        <v>#VALUE!</v>
      </c>
      <c r="C41" s="112" t="str">
        <f t="shared" si="9"/>
        <v>ATK</v>
      </c>
      <c r="D41" s="7" t="s">
        <v>219</v>
      </c>
      <c r="E41" s="8" t="s">
        <v>615</v>
      </c>
      <c r="F41" s="8" t="s">
        <v>506</v>
      </c>
      <c r="G41" s="113" t="e">
        <f t="shared" si="10"/>
        <v>#VALUE!</v>
      </c>
      <c r="H41" s="113" t="str">
        <f t="shared" si="11"/>
        <v>수리중</v>
      </c>
      <c r="I41" s="117" t="s">
        <v>490</v>
      </c>
      <c r="J41" s="9" t="s">
        <v>338</v>
      </c>
      <c r="K41" s="10" t="s">
        <v>206</v>
      </c>
      <c r="L41" s="11" t="str">
        <f t="shared" si="12"/>
        <v>1T</v>
      </c>
      <c r="M41" s="18" t="s">
        <v>626</v>
      </c>
      <c r="N41" s="12" t="s">
        <v>627</v>
      </c>
      <c r="O41" s="18" t="s">
        <v>298</v>
      </c>
      <c r="P41" s="197" t="s">
        <v>628</v>
      </c>
      <c r="Q41" s="120" t="s">
        <v>629</v>
      </c>
      <c r="R41" s="13" t="s">
        <v>506</v>
      </c>
      <c r="S41" s="7">
        <v>1</v>
      </c>
      <c r="T41" s="14">
        <v>4500</v>
      </c>
      <c r="U41" s="15">
        <f t="shared" si="4"/>
        <v>2250</v>
      </c>
      <c r="V41" s="14">
        <v>0</v>
      </c>
      <c r="W41" s="15">
        <f t="shared" si="5"/>
        <v>2250</v>
      </c>
      <c r="X41" s="9" t="s">
        <v>495</v>
      </c>
      <c r="Y41" s="7" t="s">
        <v>506</v>
      </c>
      <c r="Z41" s="16">
        <v>8</v>
      </c>
      <c r="AA41" s="17" t="e">
        <f t="shared" si="6"/>
        <v>#VALUE!</v>
      </c>
      <c r="AB41" s="9" t="s">
        <v>422</v>
      </c>
      <c r="AD41" s="181">
        <f t="shared" si="7"/>
        <v>0</v>
      </c>
    </row>
    <row r="42" spans="2:30" ht="24">
      <c r="B42" s="189">
        <f t="shared" si="8"/>
        <v>9</v>
      </c>
      <c r="C42" s="112" t="str">
        <f t="shared" si="9"/>
        <v>ATK</v>
      </c>
      <c r="D42" s="7" t="s">
        <v>630</v>
      </c>
      <c r="E42" s="8" t="s">
        <v>615</v>
      </c>
      <c r="F42" s="8" t="s">
        <v>500</v>
      </c>
      <c r="G42" s="113">
        <f t="shared" si="10"/>
        <v>3</v>
      </c>
      <c r="H42" s="113" t="str">
        <f t="shared" si="11"/>
        <v>Other</v>
      </c>
      <c r="I42" s="117" t="s">
        <v>401</v>
      </c>
      <c r="J42" s="9" t="s">
        <v>198</v>
      </c>
      <c r="K42" s="10" t="s">
        <v>186</v>
      </c>
      <c r="L42" s="11" t="str">
        <f t="shared" si="12"/>
        <v>3T</v>
      </c>
      <c r="M42" s="18" t="s">
        <v>182</v>
      </c>
      <c r="N42" s="12" t="s">
        <v>278</v>
      </c>
      <c r="O42" s="18" t="s">
        <v>631</v>
      </c>
      <c r="P42" s="197" t="s">
        <v>506</v>
      </c>
      <c r="Q42" s="120" t="s">
        <v>632</v>
      </c>
      <c r="R42" s="13" t="s">
        <v>633</v>
      </c>
      <c r="S42" s="7">
        <v>1</v>
      </c>
      <c r="T42" s="14">
        <v>910</v>
      </c>
      <c r="U42" s="15">
        <f t="shared" si="4"/>
        <v>455</v>
      </c>
      <c r="V42" s="14">
        <v>75</v>
      </c>
      <c r="W42" s="15">
        <f t="shared" si="5"/>
        <v>380</v>
      </c>
      <c r="X42" s="9" t="s">
        <v>495</v>
      </c>
      <c r="Y42" s="7" t="s">
        <v>506</v>
      </c>
      <c r="Z42" s="16">
        <v>1</v>
      </c>
      <c r="AA42" s="17">
        <f t="shared" si="6"/>
        <v>8</v>
      </c>
      <c r="AB42" s="9" t="s">
        <v>494</v>
      </c>
      <c r="AD42" s="181">
        <f t="shared" si="7"/>
        <v>6.8181818181818177E-2</v>
      </c>
    </row>
    <row r="43" spans="2:30">
      <c r="B43" s="189">
        <f t="shared" si="8"/>
        <v>8</v>
      </c>
      <c r="C43" s="112" t="str">
        <f t="shared" si="9"/>
        <v>ATK</v>
      </c>
      <c r="D43" s="7" t="s">
        <v>415</v>
      </c>
      <c r="E43" s="8" t="s">
        <v>615</v>
      </c>
      <c r="F43" s="8" t="s">
        <v>599</v>
      </c>
      <c r="G43" s="113">
        <f t="shared" si="10"/>
        <v>2</v>
      </c>
      <c r="H43" s="113" t="str">
        <f t="shared" si="11"/>
        <v>완료</v>
      </c>
      <c r="I43" s="117" t="s">
        <v>412</v>
      </c>
      <c r="J43" s="9" t="s">
        <v>491</v>
      </c>
      <c r="K43" s="10" t="s">
        <v>492</v>
      </c>
      <c r="L43" s="11" t="str">
        <f t="shared" si="12"/>
        <v>5T</v>
      </c>
      <c r="M43" s="18" t="s">
        <v>432</v>
      </c>
      <c r="N43" s="12" t="s">
        <v>506</v>
      </c>
      <c r="O43" s="18" t="s">
        <v>634</v>
      </c>
      <c r="P43" s="197" t="s">
        <v>506</v>
      </c>
      <c r="Q43" s="120" t="s">
        <v>635</v>
      </c>
      <c r="R43" s="13" t="s">
        <v>506</v>
      </c>
      <c r="S43" s="7">
        <v>1</v>
      </c>
      <c r="T43" s="14">
        <v>6000</v>
      </c>
      <c r="U43" s="15">
        <f t="shared" si="4"/>
        <v>3000</v>
      </c>
      <c r="V43" s="14">
        <v>50</v>
      </c>
      <c r="W43" s="15">
        <f t="shared" si="5"/>
        <v>2950</v>
      </c>
      <c r="X43" s="9" t="s">
        <v>495</v>
      </c>
      <c r="Y43" s="7" t="s">
        <v>506</v>
      </c>
      <c r="Z43" s="16">
        <v>4</v>
      </c>
      <c r="AA43" s="17">
        <f t="shared" si="6"/>
        <v>1</v>
      </c>
      <c r="AB43" s="9" t="s">
        <v>376</v>
      </c>
      <c r="AD43" s="181">
        <f t="shared" si="7"/>
        <v>4.5454545454545456E-2</v>
      </c>
    </row>
    <row r="44" spans="2:30" ht="16.5" customHeight="1">
      <c r="B44" s="189">
        <f t="shared" si="8"/>
        <v>8</v>
      </c>
      <c r="C44" s="112" t="str">
        <f t="shared" si="9"/>
        <v>ATK</v>
      </c>
      <c r="D44" s="7" t="s">
        <v>219</v>
      </c>
      <c r="E44" s="8" t="s">
        <v>615</v>
      </c>
      <c r="F44" s="8" t="s">
        <v>599</v>
      </c>
      <c r="G44" s="113">
        <f t="shared" si="10"/>
        <v>2</v>
      </c>
      <c r="H44" s="113" t="str">
        <f t="shared" si="11"/>
        <v>완료</v>
      </c>
      <c r="I44" s="117" t="s">
        <v>412</v>
      </c>
      <c r="J44" s="9" t="s">
        <v>338</v>
      </c>
      <c r="K44" s="10" t="s">
        <v>206</v>
      </c>
      <c r="L44" s="11" t="str">
        <f t="shared" si="12"/>
        <v>1T</v>
      </c>
      <c r="M44" s="18" t="s">
        <v>626</v>
      </c>
      <c r="N44" s="18" t="s">
        <v>627</v>
      </c>
      <c r="O44" s="18" t="s">
        <v>298</v>
      </c>
      <c r="P44" s="197" t="s">
        <v>628</v>
      </c>
      <c r="Q44" s="120" t="s">
        <v>636</v>
      </c>
      <c r="R44" s="13" t="s">
        <v>637</v>
      </c>
      <c r="S44" s="7">
        <v>1</v>
      </c>
      <c r="T44" s="14">
        <v>4500</v>
      </c>
      <c r="U44" s="15">
        <f t="shared" si="4"/>
        <v>2250</v>
      </c>
      <c r="V44" s="14">
        <v>0</v>
      </c>
      <c r="W44" s="15">
        <f t="shared" si="5"/>
        <v>2250</v>
      </c>
      <c r="X44" s="9" t="s">
        <v>495</v>
      </c>
      <c r="Y44" s="7" t="s">
        <v>506</v>
      </c>
      <c r="Z44" s="16">
        <v>5</v>
      </c>
      <c r="AA44" s="17">
        <f t="shared" si="6"/>
        <v>1</v>
      </c>
      <c r="AB44" s="9" t="s">
        <v>422</v>
      </c>
      <c r="AD44" s="181">
        <f t="shared" si="7"/>
        <v>0</v>
      </c>
    </row>
    <row r="45" spans="2:30" ht="24">
      <c r="B45" s="189">
        <f t="shared" si="8"/>
        <v>8</v>
      </c>
      <c r="C45" s="112" t="str">
        <f t="shared" si="9"/>
        <v>ATK</v>
      </c>
      <c r="D45" s="7" t="s">
        <v>159</v>
      </c>
      <c r="E45" s="8" t="s">
        <v>615</v>
      </c>
      <c r="F45" s="8" t="s">
        <v>599</v>
      </c>
      <c r="G45" s="113">
        <f t="shared" si="10"/>
        <v>2</v>
      </c>
      <c r="H45" s="113" t="str">
        <f t="shared" si="11"/>
        <v>완료</v>
      </c>
      <c r="I45" s="117" t="s">
        <v>412</v>
      </c>
      <c r="J45" s="9" t="s">
        <v>491</v>
      </c>
      <c r="K45" s="10" t="s">
        <v>279</v>
      </c>
      <c r="L45" s="11" t="str">
        <f t="shared" si="12"/>
        <v>5T</v>
      </c>
      <c r="M45" s="18" t="s">
        <v>638</v>
      </c>
      <c r="N45" s="18" t="s">
        <v>639</v>
      </c>
      <c r="O45" s="18" t="s">
        <v>640</v>
      </c>
      <c r="P45" s="197" t="s">
        <v>641</v>
      </c>
      <c r="Q45" s="120" t="s">
        <v>642</v>
      </c>
      <c r="R45" s="13" t="s">
        <v>506</v>
      </c>
      <c r="S45" s="7">
        <v>1</v>
      </c>
      <c r="T45" s="14">
        <v>1500</v>
      </c>
      <c r="U45" s="15">
        <f t="shared" si="4"/>
        <v>750</v>
      </c>
      <c r="V45" s="14">
        <v>20</v>
      </c>
      <c r="W45" s="15">
        <f t="shared" si="5"/>
        <v>730</v>
      </c>
      <c r="X45" s="9" t="s">
        <v>495</v>
      </c>
      <c r="Y45" s="7" t="s">
        <v>506</v>
      </c>
      <c r="Z45" s="16">
        <v>8</v>
      </c>
      <c r="AA45" s="17">
        <f t="shared" si="6"/>
        <v>1</v>
      </c>
      <c r="AB45" s="9" t="s">
        <v>141</v>
      </c>
      <c r="AD45" s="181">
        <f t="shared" si="7"/>
        <v>1.8181818181818181E-2</v>
      </c>
    </row>
    <row r="46" spans="2:30" ht="24">
      <c r="B46" s="189">
        <f t="shared" si="8"/>
        <v>9</v>
      </c>
      <c r="C46" s="112" t="str">
        <f t="shared" si="9"/>
        <v>ATK</v>
      </c>
      <c r="D46" s="7" t="s">
        <v>404</v>
      </c>
      <c r="E46" s="8" t="s">
        <v>615</v>
      </c>
      <c r="F46" s="8" t="s">
        <v>500</v>
      </c>
      <c r="G46" s="113">
        <f t="shared" si="10"/>
        <v>3</v>
      </c>
      <c r="H46" s="113" t="str">
        <f t="shared" si="11"/>
        <v>Other</v>
      </c>
      <c r="I46" s="117" t="s">
        <v>401</v>
      </c>
      <c r="J46" s="9" t="s">
        <v>491</v>
      </c>
      <c r="K46" s="10" t="s">
        <v>492</v>
      </c>
      <c r="L46" s="11" t="str">
        <f t="shared" si="12"/>
        <v>5T</v>
      </c>
      <c r="M46" s="18" t="s">
        <v>182</v>
      </c>
      <c r="N46" s="12" t="s">
        <v>508</v>
      </c>
      <c r="O46" s="18" t="s">
        <v>182</v>
      </c>
      <c r="P46" s="197" t="s">
        <v>506</v>
      </c>
      <c r="Q46" s="120" t="s">
        <v>612</v>
      </c>
      <c r="R46" s="13" t="s">
        <v>643</v>
      </c>
      <c r="S46" s="7">
        <v>1</v>
      </c>
      <c r="T46" s="14">
        <v>0</v>
      </c>
      <c r="U46" s="15">
        <f t="shared" si="4"/>
        <v>0</v>
      </c>
      <c r="V46" s="14">
        <v>0</v>
      </c>
      <c r="W46" s="15">
        <f t="shared" si="5"/>
        <v>0</v>
      </c>
      <c r="X46" s="9" t="s">
        <v>495</v>
      </c>
      <c r="Y46" s="7" t="s">
        <v>506</v>
      </c>
      <c r="Z46" s="16">
        <v>1</v>
      </c>
      <c r="AA46" s="17">
        <f t="shared" si="6"/>
        <v>8</v>
      </c>
      <c r="AB46" s="9" t="s">
        <v>494</v>
      </c>
      <c r="AD46" s="181">
        <f t="shared" si="7"/>
        <v>0</v>
      </c>
    </row>
    <row r="47" spans="2:30" ht="36">
      <c r="B47" s="189">
        <f t="shared" si="8"/>
        <v>9</v>
      </c>
      <c r="C47" s="112" t="str">
        <f t="shared" si="9"/>
        <v>ATK</v>
      </c>
      <c r="D47" s="7" t="s">
        <v>404</v>
      </c>
      <c r="E47" s="8" t="s">
        <v>615</v>
      </c>
      <c r="F47" s="8" t="s">
        <v>500</v>
      </c>
      <c r="G47" s="113">
        <f t="shared" si="10"/>
        <v>3</v>
      </c>
      <c r="H47" s="113" t="str">
        <f t="shared" si="11"/>
        <v>Other</v>
      </c>
      <c r="I47" s="117" t="s">
        <v>401</v>
      </c>
      <c r="J47" s="9" t="s">
        <v>491</v>
      </c>
      <c r="K47" s="10" t="s">
        <v>492</v>
      </c>
      <c r="L47" s="11" t="str">
        <f t="shared" si="12"/>
        <v>5T</v>
      </c>
      <c r="M47" s="18" t="s">
        <v>182</v>
      </c>
      <c r="N47" s="12" t="s">
        <v>644</v>
      </c>
      <c r="O47" s="18" t="s">
        <v>182</v>
      </c>
      <c r="P47" s="197" t="s">
        <v>506</v>
      </c>
      <c r="Q47" s="120" t="s">
        <v>645</v>
      </c>
      <c r="R47" s="13" t="s">
        <v>646</v>
      </c>
      <c r="S47" s="7">
        <v>2</v>
      </c>
      <c r="T47" s="14">
        <v>910</v>
      </c>
      <c r="U47" s="15">
        <f t="shared" si="4"/>
        <v>910</v>
      </c>
      <c r="V47" s="14">
        <v>0</v>
      </c>
      <c r="W47" s="15">
        <f t="shared" si="5"/>
        <v>910</v>
      </c>
      <c r="X47" s="9" t="s">
        <v>495</v>
      </c>
      <c r="Y47" s="7" t="s">
        <v>506</v>
      </c>
      <c r="Z47" s="16">
        <v>2</v>
      </c>
      <c r="AA47" s="17">
        <f t="shared" si="6"/>
        <v>8</v>
      </c>
      <c r="AB47" s="9" t="s">
        <v>494</v>
      </c>
      <c r="AD47" s="181">
        <f t="shared" si="7"/>
        <v>0</v>
      </c>
    </row>
    <row r="48" spans="2:30" ht="24">
      <c r="B48" s="189">
        <f t="shared" si="8"/>
        <v>8</v>
      </c>
      <c r="C48" s="112" t="str">
        <f t="shared" si="9"/>
        <v>ATK</v>
      </c>
      <c r="D48" s="7" t="s">
        <v>219</v>
      </c>
      <c r="E48" s="8" t="s">
        <v>647</v>
      </c>
      <c r="F48" s="8" t="s">
        <v>647</v>
      </c>
      <c r="G48" s="113">
        <f t="shared" si="10"/>
        <v>2</v>
      </c>
      <c r="H48" s="113" t="str">
        <f t="shared" si="11"/>
        <v>완료</v>
      </c>
      <c r="I48" s="117" t="s">
        <v>412</v>
      </c>
      <c r="J48" s="9" t="s">
        <v>338</v>
      </c>
      <c r="K48" s="10" t="s">
        <v>206</v>
      </c>
      <c r="L48" s="11" t="str">
        <f t="shared" si="12"/>
        <v>1T</v>
      </c>
      <c r="M48" s="18" t="s">
        <v>459</v>
      </c>
      <c r="N48" s="12" t="s">
        <v>506</v>
      </c>
      <c r="O48" s="18" t="s">
        <v>293</v>
      </c>
      <c r="P48" s="197" t="s">
        <v>463</v>
      </c>
      <c r="Q48" s="120" t="s">
        <v>648</v>
      </c>
      <c r="R48" s="13" t="s">
        <v>465</v>
      </c>
      <c r="S48" s="7">
        <v>1</v>
      </c>
      <c r="T48" s="14">
        <v>420</v>
      </c>
      <c r="U48" s="15">
        <f t="shared" si="4"/>
        <v>210</v>
      </c>
      <c r="V48" s="14">
        <v>2</v>
      </c>
      <c r="W48" s="15">
        <f t="shared" si="5"/>
        <v>208</v>
      </c>
      <c r="X48" s="9" t="s">
        <v>495</v>
      </c>
      <c r="Y48" s="7" t="s">
        <v>506</v>
      </c>
      <c r="Z48" s="16">
        <v>4</v>
      </c>
      <c r="AA48" s="17">
        <f t="shared" si="6"/>
        <v>0</v>
      </c>
      <c r="AB48" s="9" t="s">
        <v>422</v>
      </c>
      <c r="AD48" s="181">
        <f t="shared" si="7"/>
        <v>1.8181818181818182E-3</v>
      </c>
    </row>
    <row r="49" spans="2:30">
      <c r="B49" s="189" t="e">
        <f t="shared" si="8"/>
        <v>#VALUE!</v>
      </c>
      <c r="C49" s="112" t="str">
        <f t="shared" si="9"/>
        <v>ATK</v>
      </c>
      <c r="D49" s="7" t="s">
        <v>649</v>
      </c>
      <c r="E49" s="8" t="s">
        <v>647</v>
      </c>
      <c r="F49" s="8" t="s">
        <v>506</v>
      </c>
      <c r="G49" s="113" t="e">
        <f t="shared" si="10"/>
        <v>#VALUE!</v>
      </c>
      <c r="H49" s="113" t="str">
        <f t="shared" si="11"/>
        <v>수리중</v>
      </c>
      <c r="I49" s="117" t="s">
        <v>490</v>
      </c>
      <c r="J49" s="9" t="s">
        <v>381</v>
      </c>
      <c r="K49" s="10" t="s">
        <v>382</v>
      </c>
      <c r="L49" s="11" t="str">
        <f t="shared" si="12"/>
        <v>2T</v>
      </c>
      <c r="M49" s="18" t="s">
        <v>438</v>
      </c>
      <c r="N49" s="12" t="s">
        <v>650</v>
      </c>
      <c r="O49" s="18" t="s">
        <v>651</v>
      </c>
      <c r="P49" s="197" t="s">
        <v>506</v>
      </c>
      <c r="Q49" s="120" t="s">
        <v>652</v>
      </c>
      <c r="R49" s="13" t="s">
        <v>506</v>
      </c>
      <c r="S49" s="7">
        <v>1</v>
      </c>
      <c r="T49" s="14">
        <v>2300</v>
      </c>
      <c r="U49" s="15">
        <f t="shared" si="4"/>
        <v>1150</v>
      </c>
      <c r="V49" s="14">
        <v>0</v>
      </c>
      <c r="W49" s="15">
        <f t="shared" si="5"/>
        <v>1150</v>
      </c>
      <c r="X49" s="9" t="s">
        <v>495</v>
      </c>
      <c r="Y49" s="7" t="s">
        <v>506</v>
      </c>
      <c r="Z49" s="16">
        <v>0</v>
      </c>
      <c r="AA49" s="17" t="e">
        <f t="shared" si="6"/>
        <v>#VALUE!</v>
      </c>
      <c r="AB49" s="9" t="s">
        <v>213</v>
      </c>
      <c r="AD49" s="181">
        <f t="shared" si="7"/>
        <v>0</v>
      </c>
    </row>
    <row r="50" spans="2:30">
      <c r="B50" s="189">
        <f t="shared" si="8"/>
        <v>8</v>
      </c>
      <c r="C50" s="112" t="str">
        <f t="shared" si="9"/>
        <v>ATK</v>
      </c>
      <c r="D50" s="7" t="s">
        <v>653</v>
      </c>
      <c r="E50" s="8" t="s">
        <v>647</v>
      </c>
      <c r="F50" s="8" t="s">
        <v>647</v>
      </c>
      <c r="G50" s="113">
        <f t="shared" si="10"/>
        <v>2</v>
      </c>
      <c r="H50" s="113" t="str">
        <f t="shared" si="11"/>
        <v>완료</v>
      </c>
      <c r="I50" s="117" t="s">
        <v>412</v>
      </c>
      <c r="J50" s="9" t="s">
        <v>198</v>
      </c>
      <c r="K50" s="10" t="s">
        <v>186</v>
      </c>
      <c r="L50" s="11" t="str">
        <f t="shared" si="12"/>
        <v>3T</v>
      </c>
      <c r="M50" s="18" t="s">
        <v>192</v>
      </c>
      <c r="N50" s="12" t="s">
        <v>654</v>
      </c>
      <c r="O50" s="18" t="s">
        <v>445</v>
      </c>
      <c r="P50" s="197" t="s">
        <v>585</v>
      </c>
      <c r="Q50" s="120" t="s">
        <v>655</v>
      </c>
      <c r="R50" s="13" t="s">
        <v>506</v>
      </c>
      <c r="S50" s="7">
        <v>1</v>
      </c>
      <c r="T50" s="14">
        <v>1000</v>
      </c>
      <c r="U50" s="15">
        <f t="shared" si="4"/>
        <v>500</v>
      </c>
      <c r="V50" s="14">
        <v>0</v>
      </c>
      <c r="W50" s="15">
        <f t="shared" si="5"/>
        <v>500</v>
      </c>
      <c r="X50" s="9" t="s">
        <v>495</v>
      </c>
      <c r="Y50" s="7" t="s">
        <v>506</v>
      </c>
      <c r="Z50" s="16">
        <v>2</v>
      </c>
      <c r="AA50" s="17">
        <f t="shared" si="6"/>
        <v>0</v>
      </c>
      <c r="AB50" s="9" t="s">
        <v>141</v>
      </c>
      <c r="AD50" s="181">
        <f t="shared" si="7"/>
        <v>0</v>
      </c>
    </row>
    <row r="51" spans="2:30">
      <c r="B51" s="189">
        <f t="shared" si="8"/>
        <v>8</v>
      </c>
      <c r="C51" s="112" t="str">
        <f t="shared" si="9"/>
        <v>ATK</v>
      </c>
      <c r="D51" s="7" t="s">
        <v>391</v>
      </c>
      <c r="E51" s="8" t="s">
        <v>647</v>
      </c>
      <c r="F51" s="8" t="s">
        <v>647</v>
      </c>
      <c r="G51" s="113">
        <f t="shared" si="10"/>
        <v>2</v>
      </c>
      <c r="H51" s="113" t="str">
        <f t="shared" si="11"/>
        <v>완료</v>
      </c>
      <c r="I51" s="117" t="s">
        <v>412</v>
      </c>
      <c r="J51" s="9" t="s">
        <v>392</v>
      </c>
      <c r="K51" s="10" t="s">
        <v>392</v>
      </c>
      <c r="L51" s="11" t="str">
        <f t="shared" si="12"/>
        <v>EE</v>
      </c>
      <c r="M51" s="18" t="s">
        <v>171</v>
      </c>
      <c r="N51" s="12" t="s">
        <v>656</v>
      </c>
      <c r="O51" s="18" t="s">
        <v>523</v>
      </c>
      <c r="P51" s="197" t="s">
        <v>506</v>
      </c>
      <c r="Q51" s="120" t="s">
        <v>657</v>
      </c>
      <c r="R51" s="13" t="s">
        <v>506</v>
      </c>
      <c r="S51" s="7">
        <v>1</v>
      </c>
      <c r="T51" s="14">
        <v>4700</v>
      </c>
      <c r="U51" s="15">
        <f t="shared" si="4"/>
        <v>2350</v>
      </c>
      <c r="V51" s="14">
        <v>1</v>
      </c>
      <c r="W51" s="15">
        <f t="shared" si="5"/>
        <v>2349</v>
      </c>
      <c r="X51" s="9" t="s">
        <v>495</v>
      </c>
      <c r="Y51" s="7" t="s">
        <v>506</v>
      </c>
      <c r="Z51" s="16">
        <v>3</v>
      </c>
      <c r="AA51" s="17">
        <f t="shared" si="6"/>
        <v>0</v>
      </c>
      <c r="AB51" s="9" t="s">
        <v>213</v>
      </c>
      <c r="AD51" s="181">
        <f t="shared" si="7"/>
        <v>9.0909090909090909E-4</v>
      </c>
    </row>
    <row r="52" spans="2:30" ht="23.25" customHeight="1">
      <c r="B52" s="189">
        <f t="shared" si="8"/>
        <v>8</v>
      </c>
      <c r="C52" s="112" t="str">
        <f t="shared" si="9"/>
        <v>ATK</v>
      </c>
      <c r="D52" s="7" t="s">
        <v>337</v>
      </c>
      <c r="E52" s="8" t="s">
        <v>647</v>
      </c>
      <c r="F52" s="8" t="s">
        <v>647</v>
      </c>
      <c r="G52" s="113">
        <f t="shared" si="10"/>
        <v>2</v>
      </c>
      <c r="H52" s="113" t="str">
        <f t="shared" si="11"/>
        <v>완료</v>
      </c>
      <c r="I52" s="117" t="s">
        <v>412</v>
      </c>
      <c r="J52" s="9" t="s">
        <v>381</v>
      </c>
      <c r="K52" s="10" t="s">
        <v>435</v>
      </c>
      <c r="L52" s="11" t="str">
        <f t="shared" si="12"/>
        <v>2T</v>
      </c>
      <c r="M52" s="18" t="s">
        <v>580</v>
      </c>
      <c r="N52" s="12" t="s">
        <v>658</v>
      </c>
      <c r="O52" s="18" t="s">
        <v>659</v>
      </c>
      <c r="P52" s="197" t="s">
        <v>660</v>
      </c>
      <c r="Q52" s="120" t="s">
        <v>661</v>
      </c>
      <c r="R52" s="13" t="s">
        <v>662</v>
      </c>
      <c r="S52" s="7">
        <v>1</v>
      </c>
      <c r="T52" s="14">
        <v>5500</v>
      </c>
      <c r="U52" s="15">
        <f t="shared" si="4"/>
        <v>2750</v>
      </c>
      <c r="V52" s="14">
        <v>1</v>
      </c>
      <c r="W52" s="15">
        <f t="shared" si="5"/>
        <v>2749</v>
      </c>
      <c r="X52" s="9" t="s">
        <v>495</v>
      </c>
      <c r="Y52" s="7" t="s">
        <v>506</v>
      </c>
      <c r="Z52" s="16">
        <v>4</v>
      </c>
      <c r="AA52" s="17">
        <f t="shared" si="6"/>
        <v>0</v>
      </c>
      <c r="AB52" s="9" t="s">
        <v>422</v>
      </c>
      <c r="AD52" s="181">
        <f t="shared" si="7"/>
        <v>9.0909090909090909E-4</v>
      </c>
    </row>
    <row r="53" spans="2:30">
      <c r="B53" s="189">
        <f t="shared" si="8"/>
        <v>8</v>
      </c>
      <c r="C53" s="112" t="str">
        <f t="shared" si="9"/>
        <v>ATK</v>
      </c>
      <c r="D53" s="7" t="s">
        <v>663</v>
      </c>
      <c r="E53" s="8" t="s">
        <v>647</v>
      </c>
      <c r="F53" s="8" t="s">
        <v>647</v>
      </c>
      <c r="G53" s="113">
        <f t="shared" si="10"/>
        <v>2</v>
      </c>
      <c r="H53" s="113" t="str">
        <f t="shared" si="11"/>
        <v>완료</v>
      </c>
      <c r="I53" s="117" t="s">
        <v>412</v>
      </c>
      <c r="J53" s="9" t="s">
        <v>198</v>
      </c>
      <c r="K53" s="10" t="s">
        <v>199</v>
      </c>
      <c r="L53" s="11" t="str">
        <f t="shared" si="12"/>
        <v>3T</v>
      </c>
      <c r="M53" s="18" t="s">
        <v>664</v>
      </c>
      <c r="N53" s="12" t="s">
        <v>664</v>
      </c>
      <c r="O53" s="18" t="s">
        <v>665</v>
      </c>
      <c r="P53" s="197" t="s">
        <v>506</v>
      </c>
      <c r="Q53" s="120" t="s">
        <v>666</v>
      </c>
      <c r="R53" s="13" t="s">
        <v>506</v>
      </c>
      <c r="S53" s="7">
        <v>1</v>
      </c>
      <c r="T53" s="14">
        <v>6000</v>
      </c>
      <c r="U53" s="15">
        <f t="shared" si="4"/>
        <v>3000</v>
      </c>
      <c r="V53" s="14">
        <v>20</v>
      </c>
      <c r="W53" s="15">
        <f t="shared" ref="W53" si="16">U53-V53</f>
        <v>2980</v>
      </c>
      <c r="X53" s="9" t="s">
        <v>495</v>
      </c>
      <c r="Y53" s="7" t="s">
        <v>506</v>
      </c>
      <c r="Z53" s="16">
        <v>3</v>
      </c>
      <c r="AA53" s="17">
        <f t="shared" ref="AA53" si="17">F53-E53</f>
        <v>0</v>
      </c>
      <c r="AB53" s="9" t="s">
        <v>376</v>
      </c>
      <c r="AD53" s="181">
        <f t="shared" si="7"/>
        <v>1.8181818181818181E-2</v>
      </c>
    </row>
    <row r="54" spans="2:30">
      <c r="B54" s="189">
        <f t="shared" si="8"/>
        <v>8</v>
      </c>
      <c r="C54" s="112" t="str">
        <f t="shared" si="9"/>
        <v>ATK</v>
      </c>
      <c r="D54" s="7" t="s">
        <v>287</v>
      </c>
      <c r="E54" s="8" t="s">
        <v>647</v>
      </c>
      <c r="F54" s="8" t="s">
        <v>615</v>
      </c>
      <c r="G54" s="113">
        <f t="shared" si="10"/>
        <v>2</v>
      </c>
      <c r="H54" s="113" t="str">
        <f t="shared" si="11"/>
        <v>완료</v>
      </c>
      <c r="I54" s="117" t="s">
        <v>412</v>
      </c>
      <c r="J54" s="9" t="s">
        <v>198</v>
      </c>
      <c r="K54" s="10" t="s">
        <v>199</v>
      </c>
      <c r="L54" s="11" t="str">
        <f t="shared" si="12"/>
        <v>3T</v>
      </c>
      <c r="M54" s="18" t="s">
        <v>423</v>
      </c>
      <c r="N54" s="12" t="s">
        <v>298</v>
      </c>
      <c r="O54" s="18" t="s">
        <v>667</v>
      </c>
      <c r="P54" s="197" t="s">
        <v>506</v>
      </c>
      <c r="Q54" s="120" t="s">
        <v>668</v>
      </c>
      <c r="R54" s="13" t="s">
        <v>506</v>
      </c>
      <c r="S54" s="7">
        <v>1</v>
      </c>
      <c r="T54" s="14">
        <v>100</v>
      </c>
      <c r="U54" s="15">
        <f t="shared" si="4"/>
        <v>50</v>
      </c>
      <c r="V54" s="14">
        <v>0</v>
      </c>
      <c r="W54" s="15">
        <f t="shared" si="5"/>
        <v>50</v>
      </c>
      <c r="X54" s="9" t="s">
        <v>495</v>
      </c>
      <c r="Y54" s="7" t="s">
        <v>506</v>
      </c>
      <c r="Z54" s="16">
        <v>1</v>
      </c>
      <c r="AA54" s="17">
        <f t="shared" si="6"/>
        <v>1</v>
      </c>
      <c r="AB54" s="9" t="s">
        <v>376</v>
      </c>
      <c r="AD54" s="181">
        <f t="shared" si="7"/>
        <v>0</v>
      </c>
    </row>
    <row r="55" spans="2:30">
      <c r="B55" s="189">
        <f t="shared" si="8"/>
        <v>8</v>
      </c>
      <c r="C55" s="112" t="str">
        <f t="shared" si="9"/>
        <v>ATK</v>
      </c>
      <c r="D55" s="7" t="s">
        <v>404</v>
      </c>
      <c r="E55" s="8" t="s">
        <v>647</v>
      </c>
      <c r="F55" s="8" t="s">
        <v>615</v>
      </c>
      <c r="G55" s="113">
        <f t="shared" si="10"/>
        <v>2</v>
      </c>
      <c r="H55" s="113" t="str">
        <f t="shared" si="11"/>
        <v>완료</v>
      </c>
      <c r="I55" s="117" t="s">
        <v>412</v>
      </c>
      <c r="J55" s="9" t="s">
        <v>491</v>
      </c>
      <c r="K55" s="10" t="s">
        <v>279</v>
      </c>
      <c r="L55" s="11" t="str">
        <f t="shared" si="12"/>
        <v>5T</v>
      </c>
      <c r="M55" s="18" t="s">
        <v>432</v>
      </c>
      <c r="N55" s="12" t="s">
        <v>669</v>
      </c>
      <c r="O55" s="18" t="s">
        <v>670</v>
      </c>
      <c r="P55" s="197" t="s">
        <v>247</v>
      </c>
      <c r="Q55" s="120" t="s">
        <v>671</v>
      </c>
      <c r="R55" s="13" t="s">
        <v>506</v>
      </c>
      <c r="S55" s="7">
        <v>1</v>
      </c>
      <c r="T55" s="14">
        <v>1000</v>
      </c>
      <c r="U55" s="15">
        <f t="shared" si="4"/>
        <v>500</v>
      </c>
      <c r="V55" s="14">
        <v>10</v>
      </c>
      <c r="W55" s="15">
        <f t="shared" si="5"/>
        <v>490</v>
      </c>
      <c r="X55" s="9" t="s">
        <v>495</v>
      </c>
      <c r="Y55" s="7" t="s">
        <v>506</v>
      </c>
      <c r="Z55" s="16">
        <v>3</v>
      </c>
      <c r="AA55" s="17">
        <f t="shared" si="6"/>
        <v>1</v>
      </c>
      <c r="AB55" s="9" t="s">
        <v>376</v>
      </c>
      <c r="AD55" s="181">
        <f t="shared" si="7"/>
        <v>9.0909090909090905E-3</v>
      </c>
    </row>
    <row r="56" spans="2:30">
      <c r="B56" s="189">
        <f t="shared" si="8"/>
        <v>8</v>
      </c>
      <c r="C56" s="112" t="str">
        <f t="shared" si="9"/>
        <v>ATK</v>
      </c>
      <c r="D56" s="7" t="s">
        <v>672</v>
      </c>
      <c r="E56" s="8" t="s">
        <v>647</v>
      </c>
      <c r="F56" s="8" t="s">
        <v>615</v>
      </c>
      <c r="G56" s="113">
        <f t="shared" si="10"/>
        <v>2</v>
      </c>
      <c r="H56" s="113" t="str">
        <f t="shared" si="11"/>
        <v>완료</v>
      </c>
      <c r="I56" s="117" t="s">
        <v>412</v>
      </c>
      <c r="J56" s="9" t="s">
        <v>198</v>
      </c>
      <c r="K56" s="10" t="s">
        <v>145</v>
      </c>
      <c r="L56" s="11" t="str">
        <f t="shared" si="12"/>
        <v>3T</v>
      </c>
      <c r="M56" s="18" t="s">
        <v>423</v>
      </c>
      <c r="N56" s="18" t="s">
        <v>423</v>
      </c>
      <c r="O56" s="18" t="s">
        <v>204</v>
      </c>
      <c r="P56" s="197" t="s">
        <v>506</v>
      </c>
      <c r="Q56" s="18" t="s">
        <v>673</v>
      </c>
      <c r="R56" s="13" t="s">
        <v>506</v>
      </c>
      <c r="S56" s="7">
        <v>1</v>
      </c>
      <c r="T56" s="14">
        <v>150</v>
      </c>
      <c r="U56" s="15">
        <f t="shared" si="4"/>
        <v>75</v>
      </c>
      <c r="V56" s="14">
        <v>0</v>
      </c>
      <c r="W56" s="15">
        <f t="shared" si="5"/>
        <v>75</v>
      </c>
      <c r="X56" s="9" t="s">
        <v>495</v>
      </c>
      <c r="Y56" s="7" t="s">
        <v>506</v>
      </c>
      <c r="Z56" s="16">
        <v>2</v>
      </c>
      <c r="AA56" s="17">
        <f t="shared" si="6"/>
        <v>1</v>
      </c>
      <c r="AB56" s="9" t="s">
        <v>494</v>
      </c>
      <c r="AD56" s="181">
        <f t="shared" si="7"/>
        <v>0</v>
      </c>
    </row>
    <row r="57" spans="2:30">
      <c r="B57" s="189">
        <f t="shared" si="8"/>
        <v>8</v>
      </c>
      <c r="C57" s="112" t="str">
        <f t="shared" si="9"/>
        <v>ATK</v>
      </c>
      <c r="D57" s="7" t="s">
        <v>337</v>
      </c>
      <c r="E57" s="8" t="s">
        <v>647</v>
      </c>
      <c r="F57" s="8" t="s">
        <v>579</v>
      </c>
      <c r="G57" s="113">
        <f t="shared" si="10"/>
        <v>2</v>
      </c>
      <c r="H57" s="113" t="str">
        <f t="shared" si="11"/>
        <v>완료</v>
      </c>
      <c r="I57" s="117" t="s">
        <v>412</v>
      </c>
      <c r="J57" s="9" t="s">
        <v>338</v>
      </c>
      <c r="K57" s="10" t="s">
        <v>251</v>
      </c>
      <c r="L57" s="11" t="str">
        <f t="shared" si="12"/>
        <v>1T</v>
      </c>
      <c r="M57" s="18" t="s">
        <v>339</v>
      </c>
      <c r="N57" s="12" t="s">
        <v>436</v>
      </c>
      <c r="O57" s="18" t="s">
        <v>254</v>
      </c>
      <c r="P57" s="197" t="s">
        <v>249</v>
      </c>
      <c r="Q57" s="13" t="s">
        <v>674</v>
      </c>
      <c r="R57" s="7" t="s">
        <v>506</v>
      </c>
      <c r="S57" s="7">
        <v>1</v>
      </c>
      <c r="T57" s="15">
        <v>4500</v>
      </c>
      <c r="U57" s="15">
        <f t="shared" ref="U57:U71" si="18">(T57*50)/100*S57</f>
        <v>2250</v>
      </c>
      <c r="V57" s="15">
        <v>30</v>
      </c>
      <c r="W57" s="15">
        <f t="shared" si="5"/>
        <v>2220</v>
      </c>
      <c r="X57" s="9" t="s">
        <v>495</v>
      </c>
      <c r="Y57" s="7" t="s">
        <v>506</v>
      </c>
      <c r="Z57" s="17">
        <v>4</v>
      </c>
      <c r="AA57" s="17">
        <f t="shared" si="6"/>
        <v>3</v>
      </c>
      <c r="AB57" s="9" t="s">
        <v>376</v>
      </c>
      <c r="AD57" s="181">
        <f t="shared" si="7"/>
        <v>2.7272727272727271E-2</v>
      </c>
    </row>
    <row r="58" spans="2:30">
      <c r="B58" s="189">
        <f t="shared" si="8"/>
        <v>8</v>
      </c>
      <c r="C58" s="112" t="str">
        <f t="shared" si="9"/>
        <v>ATK</v>
      </c>
      <c r="D58" s="7" t="s">
        <v>248</v>
      </c>
      <c r="E58" s="8" t="s">
        <v>647</v>
      </c>
      <c r="F58" s="8" t="s">
        <v>579</v>
      </c>
      <c r="G58" s="113">
        <f t="shared" si="10"/>
        <v>2</v>
      </c>
      <c r="H58" s="113" t="str">
        <f t="shared" si="11"/>
        <v>완료</v>
      </c>
      <c r="I58" s="117" t="s">
        <v>412</v>
      </c>
      <c r="J58" s="9" t="s">
        <v>381</v>
      </c>
      <c r="K58" s="10" t="s">
        <v>382</v>
      </c>
      <c r="L58" s="11" t="str">
        <f t="shared" si="12"/>
        <v>2T</v>
      </c>
      <c r="M58" s="18" t="s">
        <v>438</v>
      </c>
      <c r="N58" s="12" t="s">
        <v>675</v>
      </c>
      <c r="O58" s="18" t="s">
        <v>169</v>
      </c>
      <c r="P58" s="197" t="s">
        <v>676</v>
      </c>
      <c r="Q58" s="120" t="s">
        <v>677</v>
      </c>
      <c r="R58" s="13" t="s">
        <v>506</v>
      </c>
      <c r="S58" s="7">
        <v>1</v>
      </c>
      <c r="T58" s="14">
        <v>2000</v>
      </c>
      <c r="U58" s="15">
        <f t="shared" si="18"/>
        <v>1000</v>
      </c>
      <c r="V58" s="14">
        <v>0</v>
      </c>
      <c r="W58" s="15">
        <f t="shared" si="5"/>
        <v>1000</v>
      </c>
      <c r="X58" s="9" t="s">
        <v>495</v>
      </c>
      <c r="Y58" s="7" t="s">
        <v>506</v>
      </c>
      <c r="Z58" s="16">
        <v>3</v>
      </c>
      <c r="AA58" s="17">
        <f t="shared" si="6"/>
        <v>3</v>
      </c>
      <c r="AB58" s="9" t="s">
        <v>376</v>
      </c>
      <c r="AD58" s="181">
        <f t="shared" si="7"/>
        <v>0</v>
      </c>
    </row>
    <row r="59" spans="2:30">
      <c r="B59" s="189">
        <f t="shared" si="8"/>
        <v>8</v>
      </c>
      <c r="C59" s="112" t="str">
        <f t="shared" si="9"/>
        <v>ATK</v>
      </c>
      <c r="D59" s="7" t="s">
        <v>678</v>
      </c>
      <c r="E59" s="8" t="s">
        <v>647</v>
      </c>
      <c r="F59" s="8" t="s">
        <v>562</v>
      </c>
      <c r="G59" s="113">
        <f t="shared" si="10"/>
        <v>2</v>
      </c>
      <c r="H59" s="113" t="str">
        <f t="shared" si="11"/>
        <v>완료</v>
      </c>
      <c r="I59" s="117" t="s">
        <v>412</v>
      </c>
      <c r="J59" s="9" t="s">
        <v>392</v>
      </c>
      <c r="K59" s="10" t="s">
        <v>485</v>
      </c>
      <c r="L59" s="11" t="str">
        <f t="shared" si="12"/>
        <v>EE</v>
      </c>
      <c r="M59" s="18" t="s">
        <v>679</v>
      </c>
      <c r="N59" s="12" t="s">
        <v>680</v>
      </c>
      <c r="O59" s="18" t="s">
        <v>681</v>
      </c>
      <c r="P59" s="197" t="s">
        <v>506</v>
      </c>
      <c r="Q59" s="120" t="s">
        <v>682</v>
      </c>
      <c r="R59" s="13" t="s">
        <v>506</v>
      </c>
      <c r="S59" s="7">
        <v>1</v>
      </c>
      <c r="T59" s="14">
        <v>3000</v>
      </c>
      <c r="U59" s="15">
        <f t="shared" si="18"/>
        <v>1500</v>
      </c>
      <c r="V59" s="14">
        <v>0</v>
      </c>
      <c r="W59" s="15">
        <f t="shared" si="5"/>
        <v>1500</v>
      </c>
      <c r="X59" s="9" t="s">
        <v>495</v>
      </c>
      <c r="Y59" s="7" t="s">
        <v>506</v>
      </c>
      <c r="Z59" s="16">
        <v>3</v>
      </c>
      <c r="AA59" s="17">
        <f t="shared" si="6"/>
        <v>4</v>
      </c>
      <c r="AB59" s="9" t="s">
        <v>376</v>
      </c>
      <c r="AD59" s="181">
        <f t="shared" si="7"/>
        <v>0</v>
      </c>
    </row>
    <row r="60" spans="2:30">
      <c r="B60" s="189">
        <f t="shared" si="8"/>
        <v>7</v>
      </c>
      <c r="C60" s="112" t="str">
        <f t="shared" si="9"/>
        <v>ATK</v>
      </c>
      <c r="D60" s="7" t="s">
        <v>411</v>
      </c>
      <c r="E60" s="8" t="s">
        <v>683</v>
      </c>
      <c r="F60" s="8" t="s">
        <v>683</v>
      </c>
      <c r="G60" s="113">
        <f t="shared" si="10"/>
        <v>2</v>
      </c>
      <c r="H60" s="113" t="str">
        <f t="shared" si="11"/>
        <v>Other</v>
      </c>
      <c r="I60" s="117" t="s">
        <v>401</v>
      </c>
      <c r="J60" s="9" t="s">
        <v>392</v>
      </c>
      <c r="K60" s="10" t="s">
        <v>392</v>
      </c>
      <c r="L60" s="11" t="str">
        <f t="shared" si="12"/>
        <v>EE</v>
      </c>
      <c r="M60" s="18" t="s">
        <v>506</v>
      </c>
      <c r="N60" s="12" t="s">
        <v>207</v>
      </c>
      <c r="O60" s="18" t="s">
        <v>684</v>
      </c>
      <c r="P60" s="197" t="s">
        <v>685</v>
      </c>
      <c r="Q60" s="120" t="s">
        <v>686</v>
      </c>
      <c r="R60" s="13" t="s">
        <v>506</v>
      </c>
      <c r="S60" s="7">
        <v>1</v>
      </c>
      <c r="T60" s="14">
        <v>900</v>
      </c>
      <c r="U60" s="15">
        <f t="shared" si="18"/>
        <v>450</v>
      </c>
      <c r="V60" s="14">
        <v>0</v>
      </c>
      <c r="W60" s="15">
        <f t="shared" si="5"/>
        <v>450</v>
      </c>
      <c r="X60" s="9" t="s">
        <v>495</v>
      </c>
      <c r="Y60" s="7" t="s">
        <v>506</v>
      </c>
      <c r="Z60" s="16">
        <v>3</v>
      </c>
      <c r="AA60" s="17">
        <f t="shared" si="6"/>
        <v>0</v>
      </c>
      <c r="AB60" s="9" t="s">
        <v>213</v>
      </c>
      <c r="AD60" s="181">
        <f t="shared" si="7"/>
        <v>0</v>
      </c>
    </row>
    <row r="61" spans="2:30">
      <c r="B61" s="189">
        <f t="shared" si="8"/>
        <v>7</v>
      </c>
      <c r="C61" s="112" t="str">
        <f t="shared" si="9"/>
        <v>ATK</v>
      </c>
      <c r="D61" s="7" t="s">
        <v>404</v>
      </c>
      <c r="E61" s="8" t="s">
        <v>683</v>
      </c>
      <c r="F61" s="8" t="s">
        <v>683</v>
      </c>
      <c r="G61" s="113">
        <f t="shared" si="10"/>
        <v>2</v>
      </c>
      <c r="H61" s="113" t="str">
        <f t="shared" si="11"/>
        <v>완료</v>
      </c>
      <c r="I61" s="117" t="s">
        <v>412</v>
      </c>
      <c r="J61" s="9" t="s">
        <v>491</v>
      </c>
      <c r="K61" s="10" t="s">
        <v>492</v>
      </c>
      <c r="L61" s="11" t="str">
        <f t="shared" si="12"/>
        <v>5T</v>
      </c>
      <c r="M61" s="18" t="s">
        <v>243</v>
      </c>
      <c r="N61" s="12" t="s">
        <v>609</v>
      </c>
      <c r="O61" s="18" t="s">
        <v>610</v>
      </c>
      <c r="P61" s="197" t="s">
        <v>506</v>
      </c>
      <c r="Q61" s="120" t="s">
        <v>532</v>
      </c>
      <c r="R61" s="13" t="s">
        <v>506</v>
      </c>
      <c r="S61" s="7">
        <v>1</v>
      </c>
      <c r="T61" s="14">
        <v>500</v>
      </c>
      <c r="U61" s="15">
        <f t="shared" si="18"/>
        <v>250</v>
      </c>
      <c r="V61" s="14">
        <v>7</v>
      </c>
      <c r="W61" s="15">
        <f t="shared" si="5"/>
        <v>243</v>
      </c>
      <c r="X61" s="9" t="s">
        <v>495</v>
      </c>
      <c r="Y61" s="7" t="s">
        <v>506</v>
      </c>
      <c r="Z61" s="16">
        <v>3</v>
      </c>
      <c r="AA61" s="17">
        <f t="shared" si="6"/>
        <v>0</v>
      </c>
      <c r="AB61" s="9" t="s">
        <v>213</v>
      </c>
      <c r="AD61" s="181">
        <f t="shared" si="7"/>
        <v>6.3636363636363638E-3</v>
      </c>
    </row>
    <row r="62" spans="2:30">
      <c r="B62" s="189">
        <f t="shared" si="8"/>
        <v>8</v>
      </c>
      <c r="C62" s="112" t="str">
        <f t="shared" si="9"/>
        <v>ATK</v>
      </c>
      <c r="D62" s="7" t="s">
        <v>215</v>
      </c>
      <c r="E62" s="8" t="s">
        <v>683</v>
      </c>
      <c r="F62" s="8" t="s">
        <v>615</v>
      </c>
      <c r="G62" s="113">
        <f t="shared" si="10"/>
        <v>2</v>
      </c>
      <c r="H62" s="113" t="str">
        <f t="shared" si="11"/>
        <v>완료</v>
      </c>
      <c r="I62" s="117" t="s">
        <v>412</v>
      </c>
      <c r="J62" s="9" t="s">
        <v>381</v>
      </c>
      <c r="K62" s="10" t="s">
        <v>435</v>
      </c>
      <c r="L62" s="11" t="str">
        <f t="shared" si="12"/>
        <v>2T</v>
      </c>
      <c r="M62" s="18" t="s">
        <v>339</v>
      </c>
      <c r="N62" s="12" t="s">
        <v>687</v>
      </c>
      <c r="O62" s="18" t="s">
        <v>203</v>
      </c>
      <c r="P62" s="197" t="s">
        <v>202</v>
      </c>
      <c r="Q62" s="120" t="s">
        <v>688</v>
      </c>
      <c r="R62" s="13" t="s">
        <v>506</v>
      </c>
      <c r="S62" s="7">
        <v>3</v>
      </c>
      <c r="T62" s="14">
        <v>1500</v>
      </c>
      <c r="U62" s="15">
        <f t="shared" si="18"/>
        <v>2250</v>
      </c>
      <c r="V62" s="14">
        <v>0</v>
      </c>
      <c r="W62" s="15">
        <f t="shared" si="5"/>
        <v>2250</v>
      </c>
      <c r="X62" s="9" t="s">
        <v>495</v>
      </c>
      <c r="Y62" s="7" t="s">
        <v>506</v>
      </c>
      <c r="Z62" s="16">
        <v>3</v>
      </c>
      <c r="AA62" s="17">
        <f t="shared" si="6"/>
        <v>4</v>
      </c>
      <c r="AB62" s="9" t="s">
        <v>494</v>
      </c>
      <c r="AD62" s="181">
        <f t="shared" si="7"/>
        <v>0</v>
      </c>
    </row>
    <row r="63" spans="2:30">
      <c r="B63" s="189">
        <f t="shared" si="8"/>
        <v>7</v>
      </c>
      <c r="C63" s="112" t="str">
        <f t="shared" si="9"/>
        <v>ATK</v>
      </c>
      <c r="D63" s="7" t="s">
        <v>506</v>
      </c>
      <c r="E63" s="8" t="s">
        <v>683</v>
      </c>
      <c r="F63" s="8" t="s">
        <v>683</v>
      </c>
      <c r="G63" s="113">
        <f t="shared" si="10"/>
        <v>2</v>
      </c>
      <c r="H63" s="113" t="str">
        <f t="shared" si="11"/>
        <v>완료</v>
      </c>
      <c r="I63" s="117" t="s">
        <v>412</v>
      </c>
      <c r="J63" s="9" t="s">
        <v>381</v>
      </c>
      <c r="K63" s="10" t="s">
        <v>435</v>
      </c>
      <c r="L63" s="11" t="str">
        <f t="shared" si="12"/>
        <v>2T</v>
      </c>
      <c r="M63" s="18" t="s">
        <v>339</v>
      </c>
      <c r="N63" s="12" t="s">
        <v>216</v>
      </c>
      <c r="O63" s="18" t="s">
        <v>217</v>
      </c>
      <c r="P63" s="197" t="s">
        <v>218</v>
      </c>
      <c r="Q63" s="120" t="s">
        <v>689</v>
      </c>
      <c r="R63" s="13" t="s">
        <v>506</v>
      </c>
      <c r="S63" s="7">
        <v>1</v>
      </c>
      <c r="T63" s="14">
        <v>1500</v>
      </c>
      <c r="U63" s="15">
        <f t="shared" si="18"/>
        <v>750</v>
      </c>
      <c r="V63" s="14">
        <v>25</v>
      </c>
      <c r="W63" s="15">
        <f t="shared" si="5"/>
        <v>725</v>
      </c>
      <c r="X63" s="9" t="s">
        <v>495</v>
      </c>
      <c r="Y63" s="7" t="s">
        <v>506</v>
      </c>
      <c r="Z63" s="16">
        <v>1</v>
      </c>
      <c r="AA63" s="17">
        <f t="shared" si="6"/>
        <v>0</v>
      </c>
      <c r="AB63" s="9" t="s">
        <v>494</v>
      </c>
      <c r="AD63" s="181">
        <f t="shared" si="7"/>
        <v>2.2727272727272728E-2</v>
      </c>
    </row>
    <row r="64" spans="2:30">
      <c r="B64" s="189">
        <f t="shared" si="8"/>
        <v>7</v>
      </c>
      <c r="C64" s="112" t="str">
        <f t="shared" si="9"/>
        <v>ATK</v>
      </c>
      <c r="D64" s="7" t="s">
        <v>690</v>
      </c>
      <c r="E64" s="8" t="s">
        <v>683</v>
      </c>
      <c r="F64" s="8" t="s">
        <v>683</v>
      </c>
      <c r="G64" s="113">
        <f t="shared" si="10"/>
        <v>2</v>
      </c>
      <c r="H64" s="113" t="str">
        <f t="shared" si="11"/>
        <v>완료</v>
      </c>
      <c r="I64" s="117" t="s">
        <v>412</v>
      </c>
      <c r="J64" s="9" t="s">
        <v>381</v>
      </c>
      <c r="K64" s="10" t="s">
        <v>382</v>
      </c>
      <c r="L64" s="11" t="str">
        <f t="shared" si="12"/>
        <v>2T</v>
      </c>
      <c r="M64" s="18" t="s">
        <v>438</v>
      </c>
      <c r="N64" s="12" t="s">
        <v>691</v>
      </c>
      <c r="O64" s="18" t="s">
        <v>692</v>
      </c>
      <c r="P64" s="197" t="s">
        <v>693</v>
      </c>
      <c r="Q64" s="120" t="s">
        <v>694</v>
      </c>
      <c r="R64" s="13" t="s">
        <v>506</v>
      </c>
      <c r="S64" s="7">
        <v>1</v>
      </c>
      <c r="T64" s="14">
        <v>500</v>
      </c>
      <c r="U64" s="15">
        <f t="shared" si="18"/>
        <v>250</v>
      </c>
      <c r="V64" s="14">
        <v>3</v>
      </c>
      <c r="W64" s="15">
        <f t="shared" si="5"/>
        <v>247</v>
      </c>
      <c r="X64" s="9" t="s">
        <v>495</v>
      </c>
      <c r="Y64" s="7" t="s">
        <v>506</v>
      </c>
      <c r="Z64" s="16">
        <v>2</v>
      </c>
      <c r="AA64" s="17">
        <f t="shared" si="6"/>
        <v>0</v>
      </c>
      <c r="AB64" s="9" t="s">
        <v>213</v>
      </c>
      <c r="AD64" s="181">
        <f t="shared" si="7"/>
        <v>2.7272727272727275E-3</v>
      </c>
    </row>
    <row r="65" spans="2:30">
      <c r="B65" s="189">
        <f t="shared" si="8"/>
        <v>7</v>
      </c>
      <c r="C65" s="112" t="str">
        <f t="shared" si="9"/>
        <v>ATK</v>
      </c>
      <c r="D65" s="7" t="s">
        <v>210</v>
      </c>
      <c r="E65" s="8" t="s">
        <v>683</v>
      </c>
      <c r="F65" s="8" t="s">
        <v>683</v>
      </c>
      <c r="G65" s="113">
        <f t="shared" si="10"/>
        <v>2</v>
      </c>
      <c r="H65" s="113" t="str">
        <f t="shared" si="11"/>
        <v>완료</v>
      </c>
      <c r="I65" s="117" t="s">
        <v>412</v>
      </c>
      <c r="J65" s="9" t="s">
        <v>392</v>
      </c>
      <c r="K65" s="10" t="s">
        <v>485</v>
      </c>
      <c r="L65" s="11" t="str">
        <f t="shared" si="12"/>
        <v>EE</v>
      </c>
      <c r="M65" s="18" t="s">
        <v>695</v>
      </c>
      <c r="N65" s="12" t="s">
        <v>193</v>
      </c>
      <c r="O65" s="18" t="s">
        <v>696</v>
      </c>
      <c r="P65" s="197" t="s">
        <v>697</v>
      </c>
      <c r="Q65" s="120" t="s">
        <v>698</v>
      </c>
      <c r="R65" s="13" t="s">
        <v>506</v>
      </c>
      <c r="S65" s="7">
        <v>1</v>
      </c>
      <c r="T65" s="14">
        <v>1000</v>
      </c>
      <c r="U65" s="15">
        <f t="shared" si="18"/>
        <v>500</v>
      </c>
      <c r="V65" s="14">
        <v>0</v>
      </c>
      <c r="W65" s="15">
        <f t="shared" si="5"/>
        <v>500</v>
      </c>
      <c r="X65" s="9" t="s">
        <v>495</v>
      </c>
      <c r="Y65" s="7" t="s">
        <v>506</v>
      </c>
      <c r="Z65" s="16">
        <v>2</v>
      </c>
      <c r="AA65" s="17">
        <f t="shared" si="6"/>
        <v>0</v>
      </c>
      <c r="AB65" s="9" t="s">
        <v>141</v>
      </c>
      <c r="AD65" s="181">
        <f t="shared" si="7"/>
        <v>0</v>
      </c>
    </row>
    <row r="66" spans="2:30">
      <c r="B66" s="189">
        <f t="shared" si="8"/>
        <v>7</v>
      </c>
      <c r="C66" s="112" t="str">
        <f t="shared" si="9"/>
        <v>ATK</v>
      </c>
      <c r="D66" s="7" t="s">
        <v>506</v>
      </c>
      <c r="E66" s="8" t="s">
        <v>683</v>
      </c>
      <c r="F66" s="8" t="s">
        <v>683</v>
      </c>
      <c r="G66" s="113">
        <f t="shared" si="10"/>
        <v>2</v>
      </c>
      <c r="H66" s="113" t="str">
        <f t="shared" si="11"/>
        <v>Other</v>
      </c>
      <c r="I66" s="117" t="s">
        <v>419</v>
      </c>
      <c r="J66" s="9" t="s">
        <v>454</v>
      </c>
      <c r="K66" s="10" t="s">
        <v>454</v>
      </c>
      <c r="L66" s="11" t="str">
        <f t="shared" si="12"/>
        <v>인사</v>
      </c>
      <c r="M66" s="18" t="s">
        <v>699</v>
      </c>
      <c r="N66" s="12" t="s">
        <v>506</v>
      </c>
      <c r="O66" s="18" t="s">
        <v>506</v>
      </c>
      <c r="P66" s="197" t="s">
        <v>506</v>
      </c>
      <c r="Q66" s="120" t="s">
        <v>700</v>
      </c>
      <c r="R66" s="13" t="s">
        <v>506</v>
      </c>
      <c r="S66" s="7">
        <v>0</v>
      </c>
      <c r="T66" s="14">
        <v>0</v>
      </c>
      <c r="U66" s="15">
        <f t="shared" si="18"/>
        <v>0</v>
      </c>
      <c r="V66" s="14">
        <v>0</v>
      </c>
      <c r="W66" s="15">
        <f t="shared" si="5"/>
        <v>0</v>
      </c>
      <c r="X66" s="9" t="s">
        <v>495</v>
      </c>
      <c r="Y66" s="7" t="s">
        <v>506</v>
      </c>
      <c r="Z66" s="16">
        <v>8</v>
      </c>
      <c r="AA66" s="17">
        <f t="shared" si="6"/>
        <v>0</v>
      </c>
      <c r="AB66" s="9" t="s">
        <v>422</v>
      </c>
      <c r="AD66" s="181">
        <f t="shared" ref="AD66:AD71" si="19">V66/1100</f>
        <v>0</v>
      </c>
    </row>
    <row r="67" spans="2:30" ht="24">
      <c r="B67" s="189">
        <f t="shared" ref="B67:B130" si="20">IF(F67&gt;0,IFERROR(WEEKNUM(F67),"")-1,"")</f>
        <v>8</v>
      </c>
      <c r="C67" s="112" t="str">
        <f t="shared" ref="C67:C130" si="21">IF(D67=0,"",(IF(LEFT(D67,3)="ATK","ATK",IF(LEFT(D67,2)="AT",D67,"ATK"))))</f>
        <v>ATK</v>
      </c>
      <c r="D67" s="7" t="s">
        <v>219</v>
      </c>
      <c r="E67" s="8" t="s">
        <v>683</v>
      </c>
      <c r="F67" s="8" t="s">
        <v>647</v>
      </c>
      <c r="G67" s="113">
        <f t="shared" ref="G67:G130" si="22">IF(F67&gt;0,MONTH(F67),"")</f>
        <v>2</v>
      </c>
      <c r="H67" s="113" t="str">
        <f t="shared" ref="H67:H130" si="23">IF(I67=0,"",IF(RIGHT(I67,2)="완료","완료",IF(RIGHT(I67,2)="불가","수리불가",IF(RIGHT(I67,1)="중","수리중","Other"))))</f>
        <v>완료</v>
      </c>
      <c r="I67" s="117" t="s">
        <v>412</v>
      </c>
      <c r="J67" s="9" t="s">
        <v>338</v>
      </c>
      <c r="K67" s="10" t="s">
        <v>206</v>
      </c>
      <c r="L67" s="11" t="str">
        <f t="shared" ref="L67:L129" si="24">LEFT(K67,2)</f>
        <v>1T</v>
      </c>
      <c r="M67" s="18" t="s">
        <v>701</v>
      </c>
      <c r="N67" s="12" t="s">
        <v>258</v>
      </c>
      <c r="O67" s="18" t="s">
        <v>702</v>
      </c>
      <c r="P67" s="197" t="s">
        <v>703</v>
      </c>
      <c r="Q67" s="120" t="s">
        <v>704</v>
      </c>
      <c r="R67" s="13" t="s">
        <v>506</v>
      </c>
      <c r="S67" s="7">
        <v>1</v>
      </c>
      <c r="T67" s="14">
        <v>1000</v>
      </c>
      <c r="U67" s="15">
        <f t="shared" si="18"/>
        <v>500</v>
      </c>
      <c r="V67" s="14">
        <v>20</v>
      </c>
      <c r="W67" s="15">
        <f t="shared" si="5"/>
        <v>480</v>
      </c>
      <c r="X67" s="9" t="s">
        <v>495</v>
      </c>
      <c r="Y67" s="7" t="s">
        <v>506</v>
      </c>
      <c r="Z67" s="16">
        <v>5</v>
      </c>
      <c r="AA67" s="17">
        <f t="shared" si="6"/>
        <v>3</v>
      </c>
      <c r="AB67" s="9" t="s">
        <v>141</v>
      </c>
      <c r="AD67" s="181">
        <f t="shared" si="19"/>
        <v>1.8181818181818181E-2</v>
      </c>
    </row>
    <row r="68" spans="2:30">
      <c r="B68" s="189">
        <f t="shared" si="20"/>
        <v>7</v>
      </c>
      <c r="C68" s="112" t="str">
        <f t="shared" si="21"/>
        <v>ATK</v>
      </c>
      <c r="D68" s="7" t="s">
        <v>705</v>
      </c>
      <c r="E68" s="8" t="s">
        <v>706</v>
      </c>
      <c r="F68" s="8" t="s">
        <v>683</v>
      </c>
      <c r="G68" s="113">
        <f t="shared" si="22"/>
        <v>2</v>
      </c>
      <c r="H68" s="113" t="str">
        <f t="shared" si="23"/>
        <v>완료</v>
      </c>
      <c r="I68" s="117" t="s">
        <v>412</v>
      </c>
      <c r="J68" s="9" t="s">
        <v>491</v>
      </c>
      <c r="K68" s="10" t="s">
        <v>492</v>
      </c>
      <c r="L68" s="11" t="str">
        <f t="shared" si="24"/>
        <v>5T</v>
      </c>
      <c r="M68" s="18" t="s">
        <v>353</v>
      </c>
      <c r="N68" s="18" t="s">
        <v>707</v>
      </c>
      <c r="O68" s="18" t="s">
        <v>353</v>
      </c>
      <c r="P68" s="197" t="s">
        <v>506</v>
      </c>
      <c r="Q68" s="120" t="s">
        <v>708</v>
      </c>
      <c r="R68" s="13" t="s">
        <v>506</v>
      </c>
      <c r="S68" s="7">
        <v>1</v>
      </c>
      <c r="T68" s="14">
        <v>250</v>
      </c>
      <c r="U68" s="15">
        <f t="shared" si="18"/>
        <v>125</v>
      </c>
      <c r="V68" s="14">
        <v>5</v>
      </c>
      <c r="W68" s="15">
        <f t="shared" si="5"/>
        <v>120</v>
      </c>
      <c r="X68" s="9" t="s">
        <v>495</v>
      </c>
      <c r="Y68" s="7" t="s">
        <v>506</v>
      </c>
      <c r="Z68" s="16">
        <v>1</v>
      </c>
      <c r="AA68" s="17">
        <f t="shared" si="6"/>
        <v>1</v>
      </c>
      <c r="AB68" s="9" t="s">
        <v>494</v>
      </c>
      <c r="AD68" s="181">
        <f t="shared" si="19"/>
        <v>4.5454545454545452E-3</v>
      </c>
    </row>
    <row r="69" spans="2:30" ht="24">
      <c r="B69" s="189">
        <f t="shared" si="20"/>
        <v>7</v>
      </c>
      <c r="C69" s="112" t="str">
        <f t="shared" si="21"/>
        <v>ATK</v>
      </c>
      <c r="D69" s="7" t="s">
        <v>219</v>
      </c>
      <c r="E69" s="8" t="s">
        <v>706</v>
      </c>
      <c r="F69" s="8" t="s">
        <v>706</v>
      </c>
      <c r="G69" s="113">
        <f t="shared" si="22"/>
        <v>2</v>
      </c>
      <c r="H69" s="113" t="str">
        <f t="shared" si="23"/>
        <v>완료</v>
      </c>
      <c r="I69" s="117" t="s">
        <v>412</v>
      </c>
      <c r="J69" s="9" t="s">
        <v>338</v>
      </c>
      <c r="K69" s="10" t="s">
        <v>206</v>
      </c>
      <c r="L69" s="11" t="str">
        <f t="shared" si="24"/>
        <v>1T</v>
      </c>
      <c r="M69" s="18" t="s">
        <v>701</v>
      </c>
      <c r="N69" s="12" t="s">
        <v>258</v>
      </c>
      <c r="O69" s="18" t="s">
        <v>702</v>
      </c>
      <c r="P69" s="197" t="s">
        <v>709</v>
      </c>
      <c r="Q69" s="120" t="s">
        <v>710</v>
      </c>
      <c r="R69" s="13" t="s">
        <v>506</v>
      </c>
      <c r="S69" s="7">
        <v>1</v>
      </c>
      <c r="T69" s="14">
        <v>1000</v>
      </c>
      <c r="U69" s="15">
        <f t="shared" si="18"/>
        <v>500</v>
      </c>
      <c r="V69" s="14">
        <v>20</v>
      </c>
      <c r="W69" s="15">
        <f t="shared" si="5"/>
        <v>480</v>
      </c>
      <c r="X69" s="9" t="s">
        <v>495</v>
      </c>
      <c r="Y69" s="7" t="s">
        <v>506</v>
      </c>
      <c r="Z69" s="16">
        <v>2</v>
      </c>
      <c r="AA69" s="17">
        <f t="shared" si="6"/>
        <v>0</v>
      </c>
      <c r="AB69" s="9" t="s">
        <v>141</v>
      </c>
      <c r="AD69" s="181">
        <f t="shared" si="19"/>
        <v>1.8181818181818181E-2</v>
      </c>
    </row>
    <row r="70" spans="2:30">
      <c r="B70" s="189">
        <f t="shared" si="20"/>
        <v>7</v>
      </c>
      <c r="C70" s="112" t="str">
        <f t="shared" si="21"/>
        <v>ATK</v>
      </c>
      <c r="D70" s="7" t="s">
        <v>711</v>
      </c>
      <c r="E70" s="8" t="s">
        <v>706</v>
      </c>
      <c r="F70" s="8" t="s">
        <v>706</v>
      </c>
      <c r="G70" s="113">
        <f t="shared" si="22"/>
        <v>2</v>
      </c>
      <c r="H70" s="113" t="str">
        <f t="shared" si="23"/>
        <v>완료</v>
      </c>
      <c r="I70" s="117" t="s">
        <v>412</v>
      </c>
      <c r="J70" s="9" t="s">
        <v>392</v>
      </c>
      <c r="K70" s="10" t="s">
        <v>485</v>
      </c>
      <c r="L70" s="11" t="str">
        <f t="shared" si="24"/>
        <v>EE</v>
      </c>
      <c r="M70" s="18" t="s">
        <v>712</v>
      </c>
      <c r="N70" s="12" t="s">
        <v>713</v>
      </c>
      <c r="O70" s="18" t="s">
        <v>714</v>
      </c>
      <c r="P70" s="197" t="s">
        <v>506</v>
      </c>
      <c r="Q70" s="120" t="s">
        <v>715</v>
      </c>
      <c r="R70" s="13" t="s">
        <v>506</v>
      </c>
      <c r="S70" s="7">
        <v>1</v>
      </c>
      <c r="T70" s="14">
        <v>350</v>
      </c>
      <c r="U70" s="15">
        <f t="shared" si="18"/>
        <v>175</v>
      </c>
      <c r="V70" s="14">
        <v>15</v>
      </c>
      <c r="W70" s="15">
        <f t="shared" si="5"/>
        <v>160</v>
      </c>
      <c r="X70" s="9" t="s">
        <v>495</v>
      </c>
      <c r="Y70" s="7" t="s">
        <v>506</v>
      </c>
      <c r="Z70" s="16">
        <v>2</v>
      </c>
      <c r="AA70" s="17">
        <f t="shared" si="6"/>
        <v>0</v>
      </c>
      <c r="AB70" s="9" t="s">
        <v>494</v>
      </c>
      <c r="AD70" s="181">
        <f t="shared" si="19"/>
        <v>1.3636363636363636E-2</v>
      </c>
    </row>
    <row r="71" spans="2:30">
      <c r="B71" s="189">
        <f t="shared" si="20"/>
        <v>7</v>
      </c>
      <c r="C71" s="112" t="str">
        <f t="shared" si="21"/>
        <v>ATK</v>
      </c>
      <c r="D71" s="7" t="s">
        <v>404</v>
      </c>
      <c r="E71" s="8" t="s">
        <v>706</v>
      </c>
      <c r="F71" s="8" t="s">
        <v>706</v>
      </c>
      <c r="G71" s="113">
        <f t="shared" si="22"/>
        <v>2</v>
      </c>
      <c r="H71" s="113" t="str">
        <f t="shared" si="23"/>
        <v>완료</v>
      </c>
      <c r="I71" s="117" t="s">
        <v>412</v>
      </c>
      <c r="J71" s="9" t="s">
        <v>491</v>
      </c>
      <c r="K71" s="10" t="s">
        <v>492</v>
      </c>
      <c r="L71" s="11" t="str">
        <f t="shared" si="24"/>
        <v>5T</v>
      </c>
      <c r="M71" s="18" t="s">
        <v>243</v>
      </c>
      <c r="N71" s="12" t="s">
        <v>609</v>
      </c>
      <c r="O71" s="18" t="s">
        <v>716</v>
      </c>
      <c r="P71" s="197" t="s">
        <v>506</v>
      </c>
      <c r="Q71" s="120" t="s">
        <v>532</v>
      </c>
      <c r="R71" s="13" t="s">
        <v>506</v>
      </c>
      <c r="S71" s="7">
        <v>1</v>
      </c>
      <c r="T71" s="14">
        <v>400</v>
      </c>
      <c r="U71" s="15">
        <f t="shared" si="18"/>
        <v>200</v>
      </c>
      <c r="V71" s="14">
        <v>1</v>
      </c>
      <c r="W71" s="15">
        <f t="shared" si="5"/>
        <v>199</v>
      </c>
      <c r="X71" s="9" t="s">
        <v>495</v>
      </c>
      <c r="Y71" s="7" t="s">
        <v>506</v>
      </c>
      <c r="Z71" s="16">
        <v>1</v>
      </c>
      <c r="AA71" s="17">
        <f t="shared" si="6"/>
        <v>0</v>
      </c>
      <c r="AB71" s="9" t="s">
        <v>213</v>
      </c>
      <c r="AD71" s="181">
        <f t="shared" si="19"/>
        <v>9.0909090909090909E-4</v>
      </c>
    </row>
    <row r="72" spans="2:30">
      <c r="B72" s="189">
        <f t="shared" si="20"/>
        <v>7</v>
      </c>
      <c r="C72" s="112" t="str">
        <f t="shared" si="21"/>
        <v>ATK</v>
      </c>
      <c r="D72" s="7" t="s">
        <v>404</v>
      </c>
      <c r="E72" s="8" t="s">
        <v>706</v>
      </c>
      <c r="F72" s="8" t="s">
        <v>706</v>
      </c>
      <c r="G72" s="113">
        <f t="shared" si="22"/>
        <v>2</v>
      </c>
      <c r="H72" s="113" t="str">
        <f t="shared" si="23"/>
        <v>완료</v>
      </c>
      <c r="I72" s="117" t="s">
        <v>412</v>
      </c>
      <c r="J72" s="9" t="s">
        <v>491</v>
      </c>
      <c r="K72" s="10" t="s">
        <v>492</v>
      </c>
      <c r="L72" s="11" t="str">
        <f t="shared" si="24"/>
        <v>5T</v>
      </c>
      <c r="M72" s="18" t="s">
        <v>243</v>
      </c>
      <c r="N72" s="12" t="s">
        <v>609</v>
      </c>
      <c r="O72" s="18" t="s">
        <v>717</v>
      </c>
      <c r="P72" s="197" t="s">
        <v>506</v>
      </c>
      <c r="Q72" s="120" t="s">
        <v>532</v>
      </c>
      <c r="R72" s="13" t="s">
        <v>506</v>
      </c>
      <c r="S72" s="7">
        <v>1</v>
      </c>
      <c r="T72" s="14">
        <v>600</v>
      </c>
      <c r="U72" s="15">
        <f t="shared" ref="U72:U132" si="25">(T72*50)/100*S72</f>
        <v>300</v>
      </c>
      <c r="V72" s="14">
        <v>0</v>
      </c>
      <c r="W72" s="15">
        <f t="shared" ref="W72:W132" si="26">U72-V72</f>
        <v>300</v>
      </c>
      <c r="X72" s="9" t="s">
        <v>495</v>
      </c>
      <c r="Y72" s="7" t="s">
        <v>506</v>
      </c>
      <c r="Z72" s="16">
        <v>1</v>
      </c>
      <c r="AA72" s="17">
        <f t="shared" ref="AA72:AA132" si="27">F72-E72</f>
        <v>0</v>
      </c>
      <c r="AB72" s="9" t="s">
        <v>213</v>
      </c>
    </row>
    <row r="73" spans="2:30" ht="24.75" customHeight="1">
      <c r="B73" s="189">
        <f t="shared" si="20"/>
        <v>7</v>
      </c>
      <c r="C73" s="112" t="str">
        <f t="shared" si="21"/>
        <v>ATK</v>
      </c>
      <c r="D73" s="7" t="s">
        <v>718</v>
      </c>
      <c r="E73" s="8" t="s">
        <v>706</v>
      </c>
      <c r="F73" s="8" t="s">
        <v>706</v>
      </c>
      <c r="G73" s="113">
        <f t="shared" si="22"/>
        <v>2</v>
      </c>
      <c r="H73" s="113" t="str">
        <f t="shared" si="23"/>
        <v>완료</v>
      </c>
      <c r="I73" s="117" t="s">
        <v>412</v>
      </c>
      <c r="J73" s="9" t="s">
        <v>454</v>
      </c>
      <c r="K73" s="10" t="s">
        <v>454</v>
      </c>
      <c r="L73" s="11" t="str">
        <f t="shared" si="24"/>
        <v>인사</v>
      </c>
      <c r="M73" s="18" t="s">
        <v>719</v>
      </c>
      <c r="N73" s="12" t="s">
        <v>720</v>
      </c>
      <c r="O73" s="18" t="s">
        <v>721</v>
      </c>
      <c r="P73" s="197" t="s">
        <v>722</v>
      </c>
      <c r="Q73" s="120" t="s">
        <v>723</v>
      </c>
      <c r="R73" s="13" t="s">
        <v>506</v>
      </c>
      <c r="S73" s="7">
        <v>1</v>
      </c>
      <c r="T73" s="14">
        <v>600</v>
      </c>
      <c r="U73" s="15">
        <f t="shared" si="25"/>
        <v>300</v>
      </c>
      <c r="V73" s="14">
        <v>3</v>
      </c>
      <c r="W73" s="15">
        <f t="shared" si="26"/>
        <v>297</v>
      </c>
      <c r="X73" s="9" t="s">
        <v>495</v>
      </c>
      <c r="Y73" s="7" t="s">
        <v>506</v>
      </c>
      <c r="Z73" s="16">
        <v>4</v>
      </c>
      <c r="AA73" s="17">
        <f t="shared" si="27"/>
        <v>0</v>
      </c>
      <c r="AB73" s="9" t="s">
        <v>422</v>
      </c>
    </row>
    <row r="74" spans="2:30">
      <c r="B74" s="189">
        <f t="shared" si="20"/>
        <v>7</v>
      </c>
      <c r="C74" s="112" t="str">
        <f t="shared" si="21"/>
        <v>ATK</v>
      </c>
      <c r="D74" s="7" t="s">
        <v>630</v>
      </c>
      <c r="E74" s="8" t="s">
        <v>724</v>
      </c>
      <c r="F74" s="8" t="s">
        <v>683</v>
      </c>
      <c r="G74" s="113">
        <f t="shared" si="22"/>
        <v>2</v>
      </c>
      <c r="H74" s="113" t="str">
        <f t="shared" si="23"/>
        <v>완료</v>
      </c>
      <c r="I74" s="117" t="s">
        <v>412</v>
      </c>
      <c r="J74" s="9" t="s">
        <v>198</v>
      </c>
      <c r="K74" s="10" t="s">
        <v>186</v>
      </c>
      <c r="L74" s="11" t="str">
        <f t="shared" si="24"/>
        <v>3T</v>
      </c>
      <c r="M74" s="18" t="s">
        <v>182</v>
      </c>
      <c r="N74" s="12" t="s">
        <v>278</v>
      </c>
      <c r="O74" s="18" t="s">
        <v>631</v>
      </c>
      <c r="P74" s="197" t="s">
        <v>506</v>
      </c>
      <c r="Q74" s="120" t="s">
        <v>725</v>
      </c>
      <c r="R74" s="13" t="s">
        <v>506</v>
      </c>
      <c r="S74" s="7">
        <v>3</v>
      </c>
      <c r="T74" s="14">
        <v>910</v>
      </c>
      <c r="U74" s="15">
        <f t="shared" si="25"/>
        <v>1365</v>
      </c>
      <c r="V74" s="14">
        <v>75</v>
      </c>
      <c r="W74" s="15">
        <f t="shared" si="26"/>
        <v>1290</v>
      </c>
      <c r="X74" s="9" t="s">
        <v>495</v>
      </c>
      <c r="Y74" s="7" t="s">
        <v>506</v>
      </c>
      <c r="Z74" s="16">
        <v>6</v>
      </c>
      <c r="AA74" s="17">
        <f t="shared" si="27"/>
        <v>2</v>
      </c>
      <c r="AB74" s="9" t="s">
        <v>494</v>
      </c>
    </row>
    <row r="75" spans="2:30">
      <c r="B75" s="189">
        <f t="shared" si="20"/>
        <v>7</v>
      </c>
      <c r="C75" s="112" t="str">
        <f t="shared" si="21"/>
        <v>ATK</v>
      </c>
      <c r="D75" s="7" t="s">
        <v>630</v>
      </c>
      <c r="E75" s="8" t="s">
        <v>724</v>
      </c>
      <c r="F75" s="8" t="s">
        <v>706</v>
      </c>
      <c r="G75" s="113">
        <f t="shared" si="22"/>
        <v>2</v>
      </c>
      <c r="H75" s="113" t="str">
        <f t="shared" si="23"/>
        <v>완료</v>
      </c>
      <c r="I75" s="117" t="s">
        <v>412</v>
      </c>
      <c r="J75" s="9" t="s">
        <v>198</v>
      </c>
      <c r="K75" s="10" t="s">
        <v>186</v>
      </c>
      <c r="L75" s="11" t="str">
        <f t="shared" si="24"/>
        <v>3T</v>
      </c>
      <c r="M75" s="18" t="s">
        <v>182</v>
      </c>
      <c r="N75" s="12" t="s">
        <v>280</v>
      </c>
      <c r="O75" s="18" t="s">
        <v>631</v>
      </c>
      <c r="P75" s="197" t="s">
        <v>506</v>
      </c>
      <c r="Q75" s="120" t="s">
        <v>726</v>
      </c>
      <c r="R75" s="13" t="s">
        <v>506</v>
      </c>
      <c r="S75" s="7">
        <v>2</v>
      </c>
      <c r="T75" s="14">
        <v>710</v>
      </c>
      <c r="U75" s="15">
        <f t="shared" si="25"/>
        <v>710</v>
      </c>
      <c r="V75" s="14">
        <v>0</v>
      </c>
      <c r="W75" s="15">
        <f t="shared" si="26"/>
        <v>710</v>
      </c>
      <c r="X75" s="9" t="s">
        <v>495</v>
      </c>
      <c r="Y75" s="7" t="s">
        <v>506</v>
      </c>
      <c r="Z75" s="16">
        <v>3</v>
      </c>
      <c r="AA75" s="17">
        <f t="shared" si="27"/>
        <v>1</v>
      </c>
      <c r="AB75" s="9" t="s">
        <v>494</v>
      </c>
    </row>
    <row r="76" spans="2:30">
      <c r="B76" s="189">
        <f t="shared" si="20"/>
        <v>7</v>
      </c>
      <c r="C76" s="112" t="str">
        <f t="shared" si="21"/>
        <v>ATK</v>
      </c>
      <c r="D76" s="7" t="s">
        <v>630</v>
      </c>
      <c r="E76" s="8" t="s">
        <v>724</v>
      </c>
      <c r="F76" s="8" t="s">
        <v>724</v>
      </c>
      <c r="G76" s="113">
        <f t="shared" si="22"/>
        <v>2</v>
      </c>
      <c r="H76" s="113" t="str">
        <f t="shared" si="23"/>
        <v>Other</v>
      </c>
      <c r="I76" s="117" t="s">
        <v>401</v>
      </c>
      <c r="J76" s="9" t="s">
        <v>198</v>
      </c>
      <c r="K76" s="10" t="s">
        <v>186</v>
      </c>
      <c r="L76" s="11" t="str">
        <f t="shared" si="24"/>
        <v>3T</v>
      </c>
      <c r="M76" s="18" t="s">
        <v>182</v>
      </c>
      <c r="N76" s="12" t="s">
        <v>297</v>
      </c>
      <c r="O76" s="18" t="s">
        <v>631</v>
      </c>
      <c r="P76" s="197" t="s">
        <v>506</v>
      </c>
      <c r="Q76" s="120" t="s">
        <v>727</v>
      </c>
      <c r="R76" s="13" t="s">
        <v>506</v>
      </c>
      <c r="S76" s="7">
        <v>1</v>
      </c>
      <c r="T76" s="14">
        <v>1500</v>
      </c>
      <c r="U76" s="15">
        <f t="shared" si="25"/>
        <v>750</v>
      </c>
      <c r="V76" s="14">
        <v>0</v>
      </c>
      <c r="W76" s="15">
        <f t="shared" si="26"/>
        <v>750</v>
      </c>
      <c r="X76" s="9" t="s">
        <v>495</v>
      </c>
      <c r="Y76" s="7" t="s">
        <v>506</v>
      </c>
      <c r="Z76" s="16">
        <v>1</v>
      </c>
      <c r="AA76" s="17">
        <f t="shared" si="27"/>
        <v>0</v>
      </c>
      <c r="AB76" s="9" t="s">
        <v>494</v>
      </c>
    </row>
    <row r="77" spans="2:30">
      <c r="B77" s="189">
        <f t="shared" si="20"/>
        <v>7</v>
      </c>
      <c r="C77" s="112" t="str">
        <f t="shared" si="21"/>
        <v>ATK</v>
      </c>
      <c r="D77" s="7" t="s">
        <v>380</v>
      </c>
      <c r="E77" s="8" t="s">
        <v>724</v>
      </c>
      <c r="F77" s="8" t="s">
        <v>706</v>
      </c>
      <c r="G77" s="113">
        <f t="shared" si="22"/>
        <v>2</v>
      </c>
      <c r="H77" s="113" t="str">
        <f t="shared" si="23"/>
        <v>완료</v>
      </c>
      <c r="I77" s="117" t="s">
        <v>412</v>
      </c>
      <c r="J77" s="9" t="s">
        <v>338</v>
      </c>
      <c r="K77" s="10" t="s">
        <v>143</v>
      </c>
      <c r="L77" s="11" t="str">
        <f t="shared" si="24"/>
        <v>1T</v>
      </c>
      <c r="M77" s="18" t="s">
        <v>728</v>
      </c>
      <c r="N77" s="12" t="s">
        <v>239</v>
      </c>
      <c r="O77" s="18" t="s">
        <v>729</v>
      </c>
      <c r="P77" s="197" t="s">
        <v>506</v>
      </c>
      <c r="Q77" s="120" t="s">
        <v>730</v>
      </c>
      <c r="R77" s="13" t="s">
        <v>731</v>
      </c>
      <c r="S77" s="7">
        <v>1</v>
      </c>
      <c r="T77" s="14">
        <v>3000</v>
      </c>
      <c r="U77" s="15">
        <f t="shared" si="25"/>
        <v>1500</v>
      </c>
      <c r="V77" s="14">
        <v>5</v>
      </c>
      <c r="W77" s="15">
        <f t="shared" si="26"/>
        <v>1495</v>
      </c>
      <c r="X77" s="9" t="s">
        <v>495</v>
      </c>
      <c r="Y77" s="7" t="s">
        <v>506</v>
      </c>
      <c r="Z77" s="16">
        <v>2</v>
      </c>
      <c r="AA77" s="17">
        <f t="shared" si="27"/>
        <v>1</v>
      </c>
      <c r="AB77" s="9" t="s">
        <v>213</v>
      </c>
    </row>
    <row r="78" spans="2:30" ht="22.5" customHeight="1">
      <c r="B78" s="189">
        <f t="shared" si="20"/>
        <v>7</v>
      </c>
      <c r="C78" s="112" t="str">
        <f t="shared" si="21"/>
        <v>ATK</v>
      </c>
      <c r="D78" s="7" t="s">
        <v>614</v>
      </c>
      <c r="E78" s="8" t="s">
        <v>724</v>
      </c>
      <c r="F78" s="8" t="s">
        <v>706</v>
      </c>
      <c r="G78" s="113">
        <f t="shared" si="22"/>
        <v>2</v>
      </c>
      <c r="H78" s="113" t="str">
        <f t="shared" si="23"/>
        <v>완료</v>
      </c>
      <c r="I78" s="117" t="s">
        <v>412</v>
      </c>
      <c r="J78" s="9" t="s">
        <v>338</v>
      </c>
      <c r="K78" s="10" t="s">
        <v>206</v>
      </c>
      <c r="L78" s="11" t="str">
        <f t="shared" si="24"/>
        <v>1T</v>
      </c>
      <c r="M78" s="18" t="s">
        <v>732</v>
      </c>
      <c r="N78" s="12" t="s">
        <v>502</v>
      </c>
      <c r="O78" s="18" t="s">
        <v>733</v>
      </c>
      <c r="P78" s="197" t="s">
        <v>734</v>
      </c>
      <c r="Q78" s="120" t="s">
        <v>735</v>
      </c>
      <c r="R78" s="13" t="s">
        <v>736</v>
      </c>
      <c r="S78" s="7">
        <v>1</v>
      </c>
      <c r="T78" s="14">
        <v>420</v>
      </c>
      <c r="U78" s="15">
        <f t="shared" si="25"/>
        <v>210</v>
      </c>
      <c r="V78" s="14">
        <v>1</v>
      </c>
      <c r="W78" s="15">
        <f t="shared" si="26"/>
        <v>209</v>
      </c>
      <c r="X78" s="9" t="s">
        <v>495</v>
      </c>
      <c r="Y78" s="7" t="s">
        <v>506</v>
      </c>
      <c r="Z78" s="16">
        <v>4</v>
      </c>
      <c r="AA78" s="17">
        <f t="shared" si="27"/>
        <v>1</v>
      </c>
      <c r="AB78" s="9" t="s">
        <v>422</v>
      </c>
    </row>
    <row r="79" spans="2:30">
      <c r="B79" s="189">
        <f t="shared" si="20"/>
        <v>7</v>
      </c>
      <c r="C79" s="112" t="str">
        <f t="shared" si="21"/>
        <v>ATK</v>
      </c>
      <c r="D79" s="7" t="s">
        <v>737</v>
      </c>
      <c r="E79" s="8" t="s">
        <v>724</v>
      </c>
      <c r="F79" s="8" t="s">
        <v>724</v>
      </c>
      <c r="G79" s="113">
        <f t="shared" si="22"/>
        <v>2</v>
      </c>
      <c r="H79" s="113" t="str">
        <f t="shared" si="23"/>
        <v>완료</v>
      </c>
      <c r="I79" s="117" t="s">
        <v>412</v>
      </c>
      <c r="J79" s="9" t="s">
        <v>198</v>
      </c>
      <c r="K79" s="10" t="s">
        <v>186</v>
      </c>
      <c r="L79" s="11" t="str">
        <f t="shared" si="24"/>
        <v>3T</v>
      </c>
      <c r="M79" s="18" t="s">
        <v>738</v>
      </c>
      <c r="N79" s="12" t="s">
        <v>675</v>
      </c>
      <c r="O79" s="18" t="s">
        <v>739</v>
      </c>
      <c r="P79" s="197" t="s">
        <v>506</v>
      </c>
      <c r="Q79" s="120" t="s">
        <v>740</v>
      </c>
      <c r="R79" s="13" t="s">
        <v>506</v>
      </c>
      <c r="S79" s="7">
        <v>1</v>
      </c>
      <c r="T79" s="14">
        <v>3000</v>
      </c>
      <c r="U79" s="15">
        <f t="shared" si="25"/>
        <v>1500</v>
      </c>
      <c r="V79" s="14">
        <v>0</v>
      </c>
      <c r="W79" s="15">
        <f t="shared" si="26"/>
        <v>1500</v>
      </c>
      <c r="X79" s="9" t="s">
        <v>495</v>
      </c>
      <c r="Y79" s="7" t="s">
        <v>506</v>
      </c>
      <c r="Z79" s="16">
        <v>6</v>
      </c>
      <c r="AA79" s="17">
        <f t="shared" si="27"/>
        <v>0</v>
      </c>
      <c r="AB79" s="9" t="s">
        <v>141</v>
      </c>
    </row>
    <row r="80" spans="2:30">
      <c r="B80" s="189">
        <f t="shared" si="20"/>
        <v>7</v>
      </c>
      <c r="C80" s="112" t="str">
        <f t="shared" si="21"/>
        <v>ATK</v>
      </c>
      <c r="D80" s="7" t="s">
        <v>614</v>
      </c>
      <c r="E80" s="8" t="s">
        <v>724</v>
      </c>
      <c r="F80" s="8" t="s">
        <v>706</v>
      </c>
      <c r="G80" s="113">
        <f t="shared" si="22"/>
        <v>2</v>
      </c>
      <c r="H80" s="113" t="str">
        <f t="shared" si="23"/>
        <v>완료</v>
      </c>
      <c r="I80" s="117" t="s">
        <v>412</v>
      </c>
      <c r="J80" s="9" t="s">
        <v>338</v>
      </c>
      <c r="K80" s="10" t="s">
        <v>206</v>
      </c>
      <c r="L80" s="11" t="str">
        <f t="shared" si="24"/>
        <v>1T</v>
      </c>
      <c r="M80" s="18" t="s">
        <v>182</v>
      </c>
      <c r="N80" s="12" t="s">
        <v>541</v>
      </c>
      <c r="O80" s="18" t="s">
        <v>182</v>
      </c>
      <c r="P80" s="197" t="s">
        <v>506</v>
      </c>
      <c r="Q80" s="120" t="s">
        <v>741</v>
      </c>
      <c r="R80" s="13" t="s">
        <v>506</v>
      </c>
      <c r="S80" s="7">
        <v>1</v>
      </c>
      <c r="T80" s="14">
        <v>500</v>
      </c>
      <c r="U80" s="15">
        <f t="shared" si="25"/>
        <v>250</v>
      </c>
      <c r="V80" s="14">
        <v>0</v>
      </c>
      <c r="W80" s="15">
        <f t="shared" si="26"/>
        <v>250</v>
      </c>
      <c r="X80" s="9" t="s">
        <v>495</v>
      </c>
      <c r="Y80" s="7" t="s">
        <v>506</v>
      </c>
      <c r="Z80" s="16">
        <v>1</v>
      </c>
      <c r="AA80" s="17">
        <f t="shared" si="27"/>
        <v>1</v>
      </c>
      <c r="AB80" s="9" t="s">
        <v>494</v>
      </c>
    </row>
    <row r="81" spans="2:28" ht="26.25" customHeight="1">
      <c r="B81" s="189">
        <f t="shared" si="20"/>
        <v>7</v>
      </c>
      <c r="C81" s="112" t="str">
        <f t="shared" si="21"/>
        <v>ATK</v>
      </c>
      <c r="D81" s="7" t="s">
        <v>273</v>
      </c>
      <c r="E81" s="8" t="s">
        <v>724</v>
      </c>
      <c r="F81" s="8" t="s">
        <v>706</v>
      </c>
      <c r="G81" s="113">
        <f t="shared" si="22"/>
        <v>2</v>
      </c>
      <c r="H81" s="113" t="str">
        <f t="shared" si="23"/>
        <v>완료</v>
      </c>
      <c r="I81" s="117" t="s">
        <v>412</v>
      </c>
      <c r="J81" s="9" t="s">
        <v>198</v>
      </c>
      <c r="K81" s="10" t="s">
        <v>199</v>
      </c>
      <c r="L81" s="11" t="str">
        <f t="shared" si="24"/>
        <v>3T</v>
      </c>
      <c r="M81" s="18" t="s">
        <v>583</v>
      </c>
      <c r="N81" s="12" t="s">
        <v>584</v>
      </c>
      <c r="O81" s="18" t="s">
        <v>471</v>
      </c>
      <c r="P81" s="197" t="s">
        <v>742</v>
      </c>
      <c r="Q81" s="120" t="s">
        <v>743</v>
      </c>
      <c r="R81" s="13" t="s">
        <v>506</v>
      </c>
      <c r="S81" s="7">
        <v>3</v>
      </c>
      <c r="T81" s="14">
        <v>1000</v>
      </c>
      <c r="U81" s="15">
        <f t="shared" si="25"/>
        <v>1500</v>
      </c>
      <c r="V81" s="14">
        <v>0</v>
      </c>
      <c r="W81" s="15">
        <f t="shared" si="26"/>
        <v>1500</v>
      </c>
      <c r="X81" s="9" t="s">
        <v>495</v>
      </c>
      <c r="Y81" s="7" t="s">
        <v>506</v>
      </c>
      <c r="Z81" s="16">
        <v>8</v>
      </c>
      <c r="AA81" s="17">
        <f t="shared" si="27"/>
        <v>1</v>
      </c>
      <c r="AB81" s="9" t="s">
        <v>141</v>
      </c>
    </row>
    <row r="82" spans="2:28">
      <c r="B82" s="189">
        <f t="shared" si="20"/>
        <v>7</v>
      </c>
      <c r="C82" s="112" t="str">
        <f t="shared" si="21"/>
        <v>ATK</v>
      </c>
      <c r="D82" s="7" t="s">
        <v>281</v>
      </c>
      <c r="E82" s="8" t="s">
        <v>724</v>
      </c>
      <c r="F82" s="8" t="s">
        <v>724</v>
      </c>
      <c r="G82" s="113">
        <f t="shared" si="22"/>
        <v>2</v>
      </c>
      <c r="H82" s="113" t="str">
        <f t="shared" si="23"/>
        <v>수리중</v>
      </c>
      <c r="I82" s="117" t="s">
        <v>490</v>
      </c>
      <c r="J82" s="9" t="s">
        <v>506</v>
      </c>
      <c r="K82" s="10" t="s">
        <v>506</v>
      </c>
      <c r="L82" s="11" t="str">
        <f t="shared" si="24"/>
        <v/>
      </c>
      <c r="M82" s="18" t="s">
        <v>506</v>
      </c>
      <c r="N82" s="12" t="s">
        <v>506</v>
      </c>
      <c r="O82" s="18" t="s">
        <v>506</v>
      </c>
      <c r="P82" s="197" t="s">
        <v>744</v>
      </c>
      <c r="Q82" s="120" t="s">
        <v>745</v>
      </c>
      <c r="R82" s="13" t="s">
        <v>746</v>
      </c>
      <c r="S82" s="7">
        <v>1</v>
      </c>
      <c r="T82" s="14">
        <v>1400</v>
      </c>
      <c r="U82" s="15">
        <f t="shared" si="25"/>
        <v>700</v>
      </c>
      <c r="V82" s="14">
        <v>0</v>
      </c>
      <c r="W82" s="15">
        <f t="shared" si="26"/>
        <v>700</v>
      </c>
      <c r="X82" s="9" t="s">
        <v>495</v>
      </c>
      <c r="Y82" s="7" t="s">
        <v>506</v>
      </c>
      <c r="Z82" s="16">
        <v>4</v>
      </c>
      <c r="AA82" s="17">
        <f t="shared" si="27"/>
        <v>0</v>
      </c>
      <c r="AB82" s="9" t="s">
        <v>422</v>
      </c>
    </row>
    <row r="83" spans="2:28">
      <c r="B83" s="189">
        <f t="shared" si="20"/>
        <v>8</v>
      </c>
      <c r="C83" s="112" t="str">
        <f t="shared" si="21"/>
        <v>ATK</v>
      </c>
      <c r="D83" s="7" t="s">
        <v>747</v>
      </c>
      <c r="E83" s="8" t="s">
        <v>724</v>
      </c>
      <c r="F83" s="8" t="s">
        <v>647</v>
      </c>
      <c r="G83" s="113">
        <f t="shared" si="22"/>
        <v>2</v>
      </c>
      <c r="H83" s="113" t="str">
        <f t="shared" si="23"/>
        <v>완료</v>
      </c>
      <c r="I83" s="117" t="s">
        <v>412</v>
      </c>
      <c r="J83" s="9" t="s">
        <v>381</v>
      </c>
      <c r="K83" s="10" t="s">
        <v>435</v>
      </c>
      <c r="L83" s="11" t="str">
        <f t="shared" si="24"/>
        <v>2T</v>
      </c>
      <c r="M83" s="18" t="s">
        <v>339</v>
      </c>
      <c r="N83" s="12" t="s">
        <v>436</v>
      </c>
      <c r="O83" s="18" t="s">
        <v>444</v>
      </c>
      <c r="P83" s="197" t="s">
        <v>442</v>
      </c>
      <c r="Q83" s="120" t="s">
        <v>748</v>
      </c>
      <c r="R83" s="13" t="s">
        <v>506</v>
      </c>
      <c r="S83" s="7">
        <v>1</v>
      </c>
      <c r="T83" s="14">
        <v>1600</v>
      </c>
      <c r="U83" s="15">
        <f t="shared" si="25"/>
        <v>800</v>
      </c>
      <c r="V83" s="14">
        <v>1</v>
      </c>
      <c r="W83" s="15">
        <f t="shared" si="26"/>
        <v>799</v>
      </c>
      <c r="X83" s="9" t="s">
        <v>495</v>
      </c>
      <c r="Y83" s="7" t="s">
        <v>506</v>
      </c>
      <c r="Z83" s="16">
        <v>3</v>
      </c>
      <c r="AA83" s="17">
        <f t="shared" si="27"/>
        <v>5</v>
      </c>
      <c r="AB83" s="9" t="s">
        <v>376</v>
      </c>
    </row>
    <row r="84" spans="2:28">
      <c r="B84" s="189">
        <f t="shared" si="20"/>
        <v>8</v>
      </c>
      <c r="C84" s="112" t="str">
        <f t="shared" si="21"/>
        <v>ATK</v>
      </c>
      <c r="D84" s="7" t="s">
        <v>747</v>
      </c>
      <c r="E84" s="8" t="s">
        <v>724</v>
      </c>
      <c r="F84" s="8" t="s">
        <v>615</v>
      </c>
      <c r="G84" s="113">
        <f t="shared" si="22"/>
        <v>2</v>
      </c>
      <c r="H84" s="113" t="str">
        <f t="shared" si="23"/>
        <v>완료</v>
      </c>
      <c r="I84" s="117" t="s">
        <v>412</v>
      </c>
      <c r="J84" s="9" t="s">
        <v>381</v>
      </c>
      <c r="K84" s="10" t="s">
        <v>435</v>
      </c>
      <c r="L84" s="11" t="str">
        <f t="shared" si="24"/>
        <v>2T</v>
      </c>
      <c r="M84" s="18" t="s">
        <v>339</v>
      </c>
      <c r="N84" s="12" t="s">
        <v>216</v>
      </c>
      <c r="O84" s="18" t="s">
        <v>256</v>
      </c>
      <c r="P84" s="197" t="s">
        <v>255</v>
      </c>
      <c r="Q84" s="120" t="s">
        <v>749</v>
      </c>
      <c r="R84" s="13" t="s">
        <v>506</v>
      </c>
      <c r="S84" s="7">
        <v>1</v>
      </c>
      <c r="T84" s="14">
        <v>1600</v>
      </c>
      <c r="U84" s="15">
        <f t="shared" si="25"/>
        <v>800</v>
      </c>
      <c r="V84" s="14">
        <v>30</v>
      </c>
      <c r="W84" s="15">
        <f t="shared" si="26"/>
        <v>770</v>
      </c>
      <c r="X84" s="9" t="s">
        <v>495</v>
      </c>
      <c r="Y84" s="7" t="s">
        <v>506</v>
      </c>
      <c r="Z84" s="16">
        <v>4</v>
      </c>
      <c r="AA84" s="17">
        <f t="shared" si="27"/>
        <v>6</v>
      </c>
      <c r="AB84" s="9" t="s">
        <v>376</v>
      </c>
    </row>
    <row r="85" spans="2:28">
      <c r="B85" s="189">
        <f t="shared" si="20"/>
        <v>8</v>
      </c>
      <c r="C85" s="112" t="str">
        <f t="shared" si="21"/>
        <v>ATK</v>
      </c>
      <c r="D85" s="7" t="s">
        <v>281</v>
      </c>
      <c r="E85" s="8" t="s">
        <v>724</v>
      </c>
      <c r="F85" s="8" t="s">
        <v>647</v>
      </c>
      <c r="G85" s="113">
        <f t="shared" si="22"/>
        <v>2</v>
      </c>
      <c r="H85" s="113" t="str">
        <f t="shared" si="23"/>
        <v>수리불가</v>
      </c>
      <c r="I85" s="117" t="s">
        <v>397</v>
      </c>
      <c r="J85" s="9" t="s">
        <v>566</v>
      </c>
      <c r="K85" s="10" t="s">
        <v>566</v>
      </c>
      <c r="L85" s="11" t="str">
        <f t="shared" si="24"/>
        <v>PM</v>
      </c>
      <c r="M85" s="18" t="s">
        <v>750</v>
      </c>
      <c r="N85" s="12" t="s">
        <v>751</v>
      </c>
      <c r="O85" s="18" t="s">
        <v>752</v>
      </c>
      <c r="P85" s="197" t="s">
        <v>744</v>
      </c>
      <c r="Q85" s="120" t="s">
        <v>753</v>
      </c>
      <c r="R85" s="13" t="s">
        <v>746</v>
      </c>
      <c r="S85" s="7">
        <v>1</v>
      </c>
      <c r="T85" s="14">
        <v>1400</v>
      </c>
      <c r="U85" s="15">
        <f t="shared" si="25"/>
        <v>700</v>
      </c>
      <c r="V85" s="14">
        <v>0</v>
      </c>
      <c r="W85" s="15">
        <f t="shared" si="26"/>
        <v>700</v>
      </c>
      <c r="X85" s="9" t="s">
        <v>495</v>
      </c>
      <c r="Y85" s="7" t="s">
        <v>506</v>
      </c>
      <c r="Z85" s="16">
        <v>4</v>
      </c>
      <c r="AA85" s="17">
        <f t="shared" si="27"/>
        <v>5</v>
      </c>
      <c r="AB85" s="9" t="s">
        <v>422</v>
      </c>
    </row>
    <row r="86" spans="2:28" ht="24">
      <c r="B86" s="189">
        <f t="shared" si="20"/>
        <v>7</v>
      </c>
      <c r="C86" s="112" t="str">
        <f t="shared" si="21"/>
        <v>ATK</v>
      </c>
      <c r="D86" s="7" t="s">
        <v>167</v>
      </c>
      <c r="E86" s="8" t="s">
        <v>754</v>
      </c>
      <c r="F86" s="8" t="s">
        <v>754</v>
      </c>
      <c r="G86" s="113">
        <f t="shared" si="22"/>
        <v>2</v>
      </c>
      <c r="H86" s="113" t="str">
        <f t="shared" si="23"/>
        <v>완료</v>
      </c>
      <c r="I86" s="117" t="s">
        <v>412</v>
      </c>
      <c r="J86" s="9" t="s">
        <v>491</v>
      </c>
      <c r="K86" s="10" t="s">
        <v>492</v>
      </c>
      <c r="L86" s="11" t="str">
        <f t="shared" si="24"/>
        <v>5T</v>
      </c>
      <c r="M86" s="18" t="s">
        <v>755</v>
      </c>
      <c r="N86" s="12" t="s">
        <v>756</v>
      </c>
      <c r="O86" s="18" t="s">
        <v>588</v>
      </c>
      <c r="P86" s="197" t="s">
        <v>506</v>
      </c>
      <c r="Q86" s="120" t="s">
        <v>757</v>
      </c>
      <c r="R86" s="13" t="s">
        <v>506</v>
      </c>
      <c r="S86" s="7">
        <v>1</v>
      </c>
      <c r="T86" s="14">
        <v>4000</v>
      </c>
      <c r="U86" s="15">
        <f t="shared" si="25"/>
        <v>2000</v>
      </c>
      <c r="V86" s="14">
        <v>15</v>
      </c>
      <c r="W86" s="15">
        <f t="shared" si="26"/>
        <v>1985</v>
      </c>
      <c r="X86" s="9" t="s">
        <v>495</v>
      </c>
      <c r="Y86" s="7" t="s">
        <v>506</v>
      </c>
      <c r="Z86" s="16">
        <v>3</v>
      </c>
      <c r="AA86" s="17">
        <f t="shared" si="27"/>
        <v>0</v>
      </c>
      <c r="AB86" s="9" t="s">
        <v>494</v>
      </c>
    </row>
    <row r="87" spans="2:28">
      <c r="B87" s="189">
        <f t="shared" si="20"/>
        <v>7</v>
      </c>
      <c r="C87" s="112" t="str">
        <f t="shared" si="21"/>
        <v>ATK</v>
      </c>
      <c r="D87" s="7" t="s">
        <v>758</v>
      </c>
      <c r="E87" s="8" t="s">
        <v>754</v>
      </c>
      <c r="F87" s="8" t="s">
        <v>754</v>
      </c>
      <c r="G87" s="113">
        <f t="shared" si="22"/>
        <v>2</v>
      </c>
      <c r="H87" s="113" t="str">
        <f t="shared" si="23"/>
        <v>완료</v>
      </c>
      <c r="I87" s="117" t="s">
        <v>412</v>
      </c>
      <c r="J87" s="9" t="s">
        <v>392</v>
      </c>
      <c r="K87" s="10" t="s">
        <v>485</v>
      </c>
      <c r="L87" s="11" t="str">
        <f t="shared" si="24"/>
        <v>EE</v>
      </c>
      <c r="M87" s="18" t="s">
        <v>168</v>
      </c>
      <c r="N87" s="12" t="s">
        <v>759</v>
      </c>
      <c r="O87" s="18" t="s">
        <v>760</v>
      </c>
      <c r="P87" s="197" t="s">
        <v>761</v>
      </c>
      <c r="Q87" s="120" t="s">
        <v>532</v>
      </c>
      <c r="R87" s="13" t="s">
        <v>506</v>
      </c>
      <c r="S87" s="7">
        <v>1</v>
      </c>
      <c r="T87" s="14">
        <v>150</v>
      </c>
      <c r="U87" s="15">
        <f t="shared" si="25"/>
        <v>75</v>
      </c>
      <c r="V87" s="14">
        <v>5</v>
      </c>
      <c r="W87" s="15">
        <f t="shared" si="26"/>
        <v>70</v>
      </c>
      <c r="X87" s="9" t="s">
        <v>495</v>
      </c>
      <c r="Y87" s="7" t="s">
        <v>506</v>
      </c>
      <c r="Z87" s="16">
        <v>1</v>
      </c>
      <c r="AA87" s="17">
        <f t="shared" si="27"/>
        <v>0</v>
      </c>
      <c r="AB87" s="9" t="s">
        <v>213</v>
      </c>
    </row>
    <row r="88" spans="2:28">
      <c r="B88" s="189">
        <f t="shared" si="20"/>
        <v>7</v>
      </c>
      <c r="C88" s="112" t="str">
        <f t="shared" si="21"/>
        <v>ATK</v>
      </c>
      <c r="D88" s="7" t="s">
        <v>762</v>
      </c>
      <c r="E88" s="8" t="s">
        <v>754</v>
      </c>
      <c r="F88" s="8" t="s">
        <v>754</v>
      </c>
      <c r="G88" s="113">
        <f t="shared" si="22"/>
        <v>2</v>
      </c>
      <c r="H88" s="113" t="str">
        <f t="shared" si="23"/>
        <v>완료</v>
      </c>
      <c r="I88" s="117" t="s">
        <v>412</v>
      </c>
      <c r="J88" s="9" t="s">
        <v>381</v>
      </c>
      <c r="K88" s="10" t="s">
        <v>170</v>
      </c>
      <c r="L88" s="11" t="str">
        <f t="shared" si="24"/>
        <v>2T</v>
      </c>
      <c r="M88" s="18" t="s">
        <v>763</v>
      </c>
      <c r="N88" s="12" t="s">
        <v>221</v>
      </c>
      <c r="O88" s="18" t="s">
        <v>764</v>
      </c>
      <c r="P88" s="197" t="s">
        <v>765</v>
      </c>
      <c r="Q88" s="120" t="s">
        <v>532</v>
      </c>
      <c r="R88" s="13" t="s">
        <v>506</v>
      </c>
      <c r="S88" s="7">
        <v>2</v>
      </c>
      <c r="T88" s="14">
        <v>4500</v>
      </c>
      <c r="U88" s="15">
        <f t="shared" si="25"/>
        <v>4500</v>
      </c>
      <c r="V88" s="14">
        <v>0</v>
      </c>
      <c r="W88" s="15">
        <f t="shared" si="26"/>
        <v>4500</v>
      </c>
      <c r="X88" s="9" t="s">
        <v>495</v>
      </c>
      <c r="Y88" s="7" t="s">
        <v>506</v>
      </c>
      <c r="Z88" s="16">
        <v>1</v>
      </c>
      <c r="AA88" s="17">
        <f t="shared" si="27"/>
        <v>0</v>
      </c>
      <c r="AB88" s="9" t="s">
        <v>213</v>
      </c>
    </row>
    <row r="89" spans="2:28" ht="26.25" customHeight="1">
      <c r="B89" s="189">
        <f t="shared" si="20"/>
        <v>7</v>
      </c>
      <c r="C89" s="112" t="str">
        <f t="shared" si="21"/>
        <v>ATK</v>
      </c>
      <c r="D89" s="7" t="s">
        <v>380</v>
      </c>
      <c r="E89" s="8" t="s">
        <v>754</v>
      </c>
      <c r="F89" s="8" t="s">
        <v>754</v>
      </c>
      <c r="G89" s="113">
        <f t="shared" si="22"/>
        <v>2</v>
      </c>
      <c r="H89" s="113" t="str">
        <f t="shared" si="23"/>
        <v>완료</v>
      </c>
      <c r="I89" s="117" t="s">
        <v>412</v>
      </c>
      <c r="J89" s="9" t="s">
        <v>566</v>
      </c>
      <c r="K89" s="9" t="s">
        <v>206</v>
      </c>
      <c r="L89" s="11" t="str">
        <f t="shared" si="24"/>
        <v>1T</v>
      </c>
      <c r="M89" s="18" t="s">
        <v>766</v>
      </c>
      <c r="N89" s="12" t="s">
        <v>239</v>
      </c>
      <c r="O89" s="18" t="s">
        <v>696</v>
      </c>
      <c r="P89" s="197" t="s">
        <v>767</v>
      </c>
      <c r="Q89" s="120" t="s">
        <v>768</v>
      </c>
      <c r="R89" s="13" t="s">
        <v>506</v>
      </c>
      <c r="S89" s="7">
        <v>1</v>
      </c>
      <c r="T89" s="14">
        <v>1000</v>
      </c>
      <c r="U89" s="15">
        <f t="shared" si="25"/>
        <v>500</v>
      </c>
      <c r="V89" s="14">
        <v>0</v>
      </c>
      <c r="W89" s="15">
        <f t="shared" si="26"/>
        <v>500</v>
      </c>
      <c r="X89" s="9" t="s">
        <v>495</v>
      </c>
      <c r="Y89" s="7" t="s">
        <v>506</v>
      </c>
      <c r="Z89" s="16">
        <v>5</v>
      </c>
      <c r="AA89" s="17">
        <f t="shared" si="27"/>
        <v>0</v>
      </c>
      <c r="AB89" s="9" t="s">
        <v>141</v>
      </c>
    </row>
    <row r="90" spans="2:28">
      <c r="B90" s="189">
        <f t="shared" si="20"/>
        <v>7</v>
      </c>
      <c r="C90" s="112" t="str">
        <f t="shared" si="21"/>
        <v>ATK</v>
      </c>
      <c r="D90" s="7" t="s">
        <v>265</v>
      </c>
      <c r="E90" s="8" t="s">
        <v>754</v>
      </c>
      <c r="F90" s="8" t="s">
        <v>754</v>
      </c>
      <c r="G90" s="113">
        <f t="shared" si="22"/>
        <v>2</v>
      </c>
      <c r="H90" s="113" t="str">
        <f t="shared" si="23"/>
        <v>완료</v>
      </c>
      <c r="I90" s="117" t="s">
        <v>412</v>
      </c>
      <c r="J90" s="9" t="s">
        <v>566</v>
      </c>
      <c r="K90" s="9" t="s">
        <v>143</v>
      </c>
      <c r="L90" s="11" t="str">
        <f t="shared" si="24"/>
        <v>1T</v>
      </c>
      <c r="M90" s="18" t="s">
        <v>769</v>
      </c>
      <c r="N90" s="12" t="s">
        <v>770</v>
      </c>
      <c r="O90" s="18" t="s">
        <v>771</v>
      </c>
      <c r="P90" s="197" t="s">
        <v>772</v>
      </c>
      <c r="Q90" s="120" t="s">
        <v>773</v>
      </c>
      <c r="R90" s="13" t="s">
        <v>506</v>
      </c>
      <c r="S90" s="7">
        <v>1</v>
      </c>
      <c r="T90" s="14">
        <v>1000</v>
      </c>
      <c r="U90" s="15">
        <f t="shared" si="25"/>
        <v>500</v>
      </c>
      <c r="V90" s="14">
        <v>0</v>
      </c>
      <c r="W90" s="15">
        <f t="shared" si="26"/>
        <v>500</v>
      </c>
      <c r="X90" s="9" t="s">
        <v>495</v>
      </c>
      <c r="Y90" s="7" t="s">
        <v>506</v>
      </c>
      <c r="Z90" s="16">
        <v>2</v>
      </c>
      <c r="AA90" s="17">
        <f t="shared" si="27"/>
        <v>0</v>
      </c>
      <c r="AB90" s="9" t="s">
        <v>141</v>
      </c>
    </row>
    <row r="91" spans="2:28">
      <c r="B91" s="189">
        <f t="shared" si="20"/>
        <v>7</v>
      </c>
      <c r="C91" s="112" t="str">
        <f t="shared" si="21"/>
        <v>ATK</v>
      </c>
      <c r="D91" s="7" t="s">
        <v>774</v>
      </c>
      <c r="E91" s="8" t="s">
        <v>754</v>
      </c>
      <c r="F91" s="8" t="s">
        <v>754</v>
      </c>
      <c r="G91" s="113">
        <f t="shared" si="22"/>
        <v>2</v>
      </c>
      <c r="H91" s="113" t="str">
        <f t="shared" si="23"/>
        <v>완료</v>
      </c>
      <c r="I91" s="117" t="s">
        <v>412</v>
      </c>
      <c r="J91" s="9" t="s">
        <v>377</v>
      </c>
      <c r="K91" s="9" t="s">
        <v>377</v>
      </c>
      <c r="L91" s="11" t="str">
        <f t="shared" si="24"/>
        <v>Bu</v>
      </c>
      <c r="M91" s="18" t="s">
        <v>775</v>
      </c>
      <c r="N91" s="12" t="s">
        <v>776</v>
      </c>
      <c r="O91" s="18" t="s">
        <v>777</v>
      </c>
      <c r="P91" s="197" t="s">
        <v>506</v>
      </c>
      <c r="Q91" s="120" t="s">
        <v>778</v>
      </c>
      <c r="R91" s="13" t="s">
        <v>506</v>
      </c>
      <c r="S91" s="7">
        <v>1</v>
      </c>
      <c r="T91" s="14">
        <v>7000</v>
      </c>
      <c r="U91" s="15">
        <f t="shared" si="25"/>
        <v>3500</v>
      </c>
      <c r="V91" s="14">
        <v>80</v>
      </c>
      <c r="W91" s="15">
        <f t="shared" si="26"/>
        <v>3420</v>
      </c>
      <c r="X91" s="9" t="s">
        <v>495</v>
      </c>
      <c r="Y91" s="7" t="s">
        <v>506</v>
      </c>
      <c r="Z91" s="16">
        <v>2</v>
      </c>
      <c r="AA91" s="17">
        <f t="shared" si="27"/>
        <v>0</v>
      </c>
      <c r="AB91" s="9" t="s">
        <v>213</v>
      </c>
    </row>
    <row r="92" spans="2:28" ht="22.5" customHeight="1">
      <c r="B92" s="189">
        <f t="shared" si="20"/>
        <v>7</v>
      </c>
      <c r="C92" s="112" t="str">
        <f t="shared" si="21"/>
        <v>ATK</v>
      </c>
      <c r="D92" s="7" t="s">
        <v>384</v>
      </c>
      <c r="E92" s="8" t="s">
        <v>754</v>
      </c>
      <c r="F92" s="8" t="s">
        <v>754</v>
      </c>
      <c r="G92" s="113">
        <f t="shared" si="22"/>
        <v>2</v>
      </c>
      <c r="H92" s="113" t="str">
        <f t="shared" si="23"/>
        <v>완료</v>
      </c>
      <c r="I92" s="117" t="s">
        <v>412</v>
      </c>
      <c r="J92" s="9" t="s">
        <v>392</v>
      </c>
      <c r="K92" s="9" t="s">
        <v>393</v>
      </c>
      <c r="L92" s="11" t="str">
        <f t="shared" si="24"/>
        <v>EE</v>
      </c>
      <c r="M92" s="18" t="s">
        <v>779</v>
      </c>
      <c r="N92" s="12" t="s">
        <v>207</v>
      </c>
      <c r="O92" s="18" t="s">
        <v>780</v>
      </c>
      <c r="P92" s="197" t="s">
        <v>781</v>
      </c>
      <c r="Q92" s="120" t="s">
        <v>782</v>
      </c>
      <c r="R92" s="13" t="s">
        <v>506</v>
      </c>
      <c r="S92" s="7">
        <v>2</v>
      </c>
      <c r="T92" s="14">
        <v>40</v>
      </c>
      <c r="U92" s="15">
        <f t="shared" si="25"/>
        <v>40</v>
      </c>
      <c r="V92" s="14">
        <v>0</v>
      </c>
      <c r="W92" s="15">
        <f t="shared" si="26"/>
        <v>40</v>
      </c>
      <c r="X92" s="9" t="s">
        <v>495</v>
      </c>
      <c r="Y92" s="7" t="s">
        <v>506</v>
      </c>
      <c r="Z92" s="16">
        <v>8</v>
      </c>
      <c r="AA92" s="17">
        <f t="shared" si="27"/>
        <v>0</v>
      </c>
      <c r="AB92" s="9" t="s">
        <v>422</v>
      </c>
    </row>
    <row r="93" spans="2:28">
      <c r="B93" s="189" t="e">
        <f t="shared" si="20"/>
        <v>#VALUE!</v>
      </c>
      <c r="C93" s="112" t="str">
        <f t="shared" si="21"/>
        <v>ATK</v>
      </c>
      <c r="D93" s="7" t="s">
        <v>783</v>
      </c>
      <c r="E93" s="8" t="s">
        <v>754</v>
      </c>
      <c r="F93" s="8" t="s">
        <v>506</v>
      </c>
      <c r="G93" s="113" t="e">
        <f t="shared" si="22"/>
        <v>#VALUE!</v>
      </c>
      <c r="H93" s="113" t="str">
        <f t="shared" si="23"/>
        <v>수리중</v>
      </c>
      <c r="I93" s="117" t="s">
        <v>490</v>
      </c>
      <c r="J93" s="9" t="s">
        <v>377</v>
      </c>
      <c r="K93" s="9" t="s">
        <v>377</v>
      </c>
      <c r="L93" s="11" t="str">
        <f t="shared" si="24"/>
        <v>Bu</v>
      </c>
      <c r="M93" s="18" t="s">
        <v>784</v>
      </c>
      <c r="N93" s="12" t="s">
        <v>785</v>
      </c>
      <c r="O93" s="18" t="s">
        <v>786</v>
      </c>
      <c r="P93" s="197" t="s">
        <v>787</v>
      </c>
      <c r="Q93" s="120" t="s">
        <v>788</v>
      </c>
      <c r="R93" s="13" t="s">
        <v>506</v>
      </c>
      <c r="S93" s="7">
        <v>1</v>
      </c>
      <c r="T93" s="14">
        <v>9000</v>
      </c>
      <c r="U93" s="15">
        <f t="shared" si="25"/>
        <v>4500</v>
      </c>
      <c r="V93" s="14">
        <v>0</v>
      </c>
      <c r="W93" s="15">
        <f t="shared" si="26"/>
        <v>4500</v>
      </c>
      <c r="X93" s="9" t="s">
        <v>495</v>
      </c>
      <c r="Y93" s="7" t="s">
        <v>506</v>
      </c>
      <c r="Z93" s="16">
        <v>0</v>
      </c>
      <c r="AA93" s="17" t="e">
        <f t="shared" si="27"/>
        <v>#VALUE!</v>
      </c>
      <c r="AB93" s="9" t="s">
        <v>213</v>
      </c>
    </row>
    <row r="94" spans="2:28">
      <c r="B94" s="189">
        <f t="shared" si="20"/>
        <v>7</v>
      </c>
      <c r="C94" s="112" t="str">
        <f t="shared" si="21"/>
        <v>ATK</v>
      </c>
      <c r="D94" s="7" t="s">
        <v>380</v>
      </c>
      <c r="E94" s="8" t="s">
        <v>789</v>
      </c>
      <c r="F94" s="8" t="s">
        <v>789</v>
      </c>
      <c r="G94" s="113">
        <f t="shared" si="22"/>
        <v>2</v>
      </c>
      <c r="H94" s="113" t="str">
        <f t="shared" si="23"/>
        <v>완료</v>
      </c>
      <c r="I94" s="117" t="s">
        <v>412</v>
      </c>
      <c r="J94" s="9" t="s">
        <v>338</v>
      </c>
      <c r="K94" s="10" t="s">
        <v>143</v>
      </c>
      <c r="L94" s="11" t="str">
        <f t="shared" si="24"/>
        <v>1T</v>
      </c>
      <c r="M94" s="18" t="s">
        <v>239</v>
      </c>
      <c r="N94" s="12" t="s">
        <v>506</v>
      </c>
      <c r="O94" s="18" t="s">
        <v>790</v>
      </c>
      <c r="P94" s="197" t="s">
        <v>791</v>
      </c>
      <c r="Q94" s="120" t="s">
        <v>792</v>
      </c>
      <c r="R94" s="13" t="s">
        <v>506</v>
      </c>
      <c r="S94" s="7">
        <v>2</v>
      </c>
      <c r="T94" s="14">
        <v>1500</v>
      </c>
      <c r="U94" s="15">
        <f t="shared" si="25"/>
        <v>1500</v>
      </c>
      <c r="V94" s="14">
        <v>6</v>
      </c>
      <c r="W94" s="15">
        <f t="shared" si="26"/>
        <v>1494</v>
      </c>
      <c r="X94" s="9" t="s">
        <v>495</v>
      </c>
      <c r="Y94" s="7" t="s">
        <v>506</v>
      </c>
      <c r="Z94" s="16">
        <v>2</v>
      </c>
      <c r="AA94" s="17">
        <f t="shared" si="27"/>
        <v>0</v>
      </c>
      <c r="AB94" s="9" t="s">
        <v>213</v>
      </c>
    </row>
    <row r="95" spans="2:28" ht="26.25" customHeight="1">
      <c r="B95" s="189">
        <f t="shared" si="20"/>
        <v>7</v>
      </c>
      <c r="C95" s="112" t="str">
        <f t="shared" si="21"/>
        <v>ATK</v>
      </c>
      <c r="D95" s="7" t="s">
        <v>282</v>
      </c>
      <c r="E95" s="8" t="s">
        <v>789</v>
      </c>
      <c r="F95" s="8" t="s">
        <v>789</v>
      </c>
      <c r="G95" s="113">
        <f t="shared" si="22"/>
        <v>2</v>
      </c>
      <c r="H95" s="113" t="str">
        <f t="shared" si="23"/>
        <v>완료</v>
      </c>
      <c r="I95" s="117" t="s">
        <v>412</v>
      </c>
      <c r="J95" s="9" t="s">
        <v>381</v>
      </c>
      <c r="K95" s="10" t="s">
        <v>435</v>
      </c>
      <c r="L95" s="11" t="str">
        <f t="shared" si="24"/>
        <v>2T</v>
      </c>
      <c r="M95" s="18" t="s">
        <v>793</v>
      </c>
      <c r="N95" s="12" t="s">
        <v>533</v>
      </c>
      <c r="O95" s="18" t="s">
        <v>794</v>
      </c>
      <c r="P95" s="197" t="s">
        <v>506</v>
      </c>
      <c r="Q95" s="120" t="s">
        <v>795</v>
      </c>
      <c r="R95" s="13" t="s">
        <v>506</v>
      </c>
      <c r="S95" s="7">
        <v>2</v>
      </c>
      <c r="T95" s="14">
        <v>500</v>
      </c>
      <c r="U95" s="15">
        <f t="shared" si="25"/>
        <v>500</v>
      </c>
      <c r="V95" s="14">
        <v>1</v>
      </c>
      <c r="W95" s="15">
        <f t="shared" si="26"/>
        <v>499</v>
      </c>
      <c r="X95" s="9" t="s">
        <v>495</v>
      </c>
      <c r="Y95" s="7" t="s">
        <v>506</v>
      </c>
      <c r="Z95" s="16">
        <v>1</v>
      </c>
      <c r="AA95" s="17">
        <f t="shared" si="27"/>
        <v>0</v>
      </c>
      <c r="AB95" s="9" t="s">
        <v>213</v>
      </c>
    </row>
    <row r="96" spans="2:28">
      <c r="B96" s="189">
        <f t="shared" si="20"/>
        <v>7</v>
      </c>
      <c r="C96" s="112" t="str">
        <f t="shared" si="21"/>
        <v>ATK</v>
      </c>
      <c r="D96" s="7" t="s">
        <v>265</v>
      </c>
      <c r="E96" s="8" t="s">
        <v>789</v>
      </c>
      <c r="F96" s="8" t="s">
        <v>789</v>
      </c>
      <c r="G96" s="113">
        <f t="shared" si="22"/>
        <v>2</v>
      </c>
      <c r="H96" s="113" t="str">
        <f t="shared" si="23"/>
        <v>완료</v>
      </c>
      <c r="I96" s="117" t="s">
        <v>412</v>
      </c>
      <c r="J96" s="9" t="s">
        <v>162</v>
      </c>
      <c r="K96" s="10" t="s">
        <v>143</v>
      </c>
      <c r="L96" s="11" t="str">
        <f t="shared" si="24"/>
        <v>1T</v>
      </c>
      <c r="M96" s="18" t="s">
        <v>190</v>
      </c>
      <c r="N96" s="12" t="s">
        <v>266</v>
      </c>
      <c r="O96" s="18" t="s">
        <v>471</v>
      </c>
      <c r="P96" s="197" t="s">
        <v>772</v>
      </c>
      <c r="Q96" s="120" t="s">
        <v>796</v>
      </c>
      <c r="R96" s="13" t="s">
        <v>506</v>
      </c>
      <c r="S96" s="7">
        <v>1</v>
      </c>
      <c r="T96" s="14">
        <v>1000</v>
      </c>
      <c r="U96" s="15">
        <f t="shared" si="25"/>
        <v>500</v>
      </c>
      <c r="V96" s="14">
        <v>10</v>
      </c>
      <c r="W96" s="15">
        <f t="shared" si="26"/>
        <v>490</v>
      </c>
      <c r="X96" s="9" t="s">
        <v>495</v>
      </c>
      <c r="Y96" s="7" t="s">
        <v>506</v>
      </c>
      <c r="Z96" s="16">
        <v>6</v>
      </c>
      <c r="AA96" s="17">
        <f t="shared" si="27"/>
        <v>0</v>
      </c>
      <c r="AB96" s="9" t="s">
        <v>141</v>
      </c>
    </row>
    <row r="97" spans="2:29">
      <c r="B97" s="189">
        <f t="shared" si="20"/>
        <v>7</v>
      </c>
      <c r="C97" s="112" t="str">
        <f t="shared" si="21"/>
        <v>ATK</v>
      </c>
      <c r="D97" s="7" t="s">
        <v>166</v>
      </c>
      <c r="E97" s="8" t="s">
        <v>789</v>
      </c>
      <c r="F97" s="8" t="s">
        <v>789</v>
      </c>
      <c r="G97" s="113">
        <f t="shared" si="22"/>
        <v>2</v>
      </c>
      <c r="H97" s="113" t="str">
        <f t="shared" si="23"/>
        <v>완료</v>
      </c>
      <c r="I97" s="117" t="s">
        <v>412</v>
      </c>
      <c r="J97" s="9" t="s">
        <v>491</v>
      </c>
      <c r="K97" s="10" t="s">
        <v>492</v>
      </c>
      <c r="L97" s="11" t="str">
        <f t="shared" si="24"/>
        <v>5T</v>
      </c>
      <c r="M97" s="18" t="s">
        <v>755</v>
      </c>
      <c r="N97" s="12" t="s">
        <v>797</v>
      </c>
      <c r="O97" s="18" t="s">
        <v>169</v>
      </c>
      <c r="P97" s="197" t="s">
        <v>506</v>
      </c>
      <c r="Q97" s="120" t="s">
        <v>798</v>
      </c>
      <c r="R97" s="13" t="s">
        <v>506</v>
      </c>
      <c r="S97" s="7">
        <v>1</v>
      </c>
      <c r="T97" s="14">
        <v>1000</v>
      </c>
      <c r="U97" s="15">
        <f t="shared" si="25"/>
        <v>500</v>
      </c>
      <c r="V97" s="14">
        <v>0</v>
      </c>
      <c r="W97" s="15">
        <f t="shared" si="26"/>
        <v>500</v>
      </c>
      <c r="X97" s="9" t="s">
        <v>495</v>
      </c>
      <c r="Y97" s="7" t="s">
        <v>506</v>
      </c>
      <c r="Z97" s="16">
        <v>2</v>
      </c>
      <c r="AA97" s="17">
        <f t="shared" si="27"/>
        <v>0</v>
      </c>
      <c r="AB97" s="9" t="s">
        <v>494</v>
      </c>
    </row>
    <row r="98" spans="2:29">
      <c r="B98" s="189">
        <f t="shared" si="20"/>
        <v>7</v>
      </c>
      <c r="C98" s="112" t="str">
        <f t="shared" si="21"/>
        <v>ATK</v>
      </c>
      <c r="D98" s="7" t="s">
        <v>415</v>
      </c>
      <c r="E98" s="8" t="s">
        <v>789</v>
      </c>
      <c r="F98" s="8" t="s">
        <v>789</v>
      </c>
      <c r="G98" s="113">
        <f t="shared" si="22"/>
        <v>2</v>
      </c>
      <c r="H98" s="113" t="str">
        <f t="shared" si="23"/>
        <v>완료</v>
      </c>
      <c r="I98" s="117" t="s">
        <v>412</v>
      </c>
      <c r="J98" s="9" t="s">
        <v>491</v>
      </c>
      <c r="K98" s="10" t="s">
        <v>492</v>
      </c>
      <c r="L98" s="11" t="str">
        <f t="shared" si="24"/>
        <v>5T</v>
      </c>
      <c r="M98" s="18" t="s">
        <v>755</v>
      </c>
      <c r="N98" s="12" t="s">
        <v>756</v>
      </c>
      <c r="O98" s="18" t="s">
        <v>588</v>
      </c>
      <c r="P98" s="197" t="s">
        <v>506</v>
      </c>
      <c r="Q98" s="120" t="s">
        <v>799</v>
      </c>
      <c r="R98" s="13" t="s">
        <v>506</v>
      </c>
      <c r="S98" s="7">
        <v>1</v>
      </c>
      <c r="T98" s="14">
        <v>4000</v>
      </c>
      <c r="U98" s="15">
        <f t="shared" si="25"/>
        <v>2000</v>
      </c>
      <c r="V98" s="14">
        <v>5</v>
      </c>
      <c r="W98" s="15">
        <f t="shared" si="26"/>
        <v>1995</v>
      </c>
      <c r="X98" s="9" t="s">
        <v>495</v>
      </c>
      <c r="Y98" s="7" t="s">
        <v>506</v>
      </c>
      <c r="Z98" s="16">
        <v>0</v>
      </c>
      <c r="AA98" s="17">
        <f t="shared" si="27"/>
        <v>0</v>
      </c>
      <c r="AB98" s="9" t="s">
        <v>494</v>
      </c>
    </row>
    <row r="99" spans="2:29" ht="23.25" customHeight="1">
      <c r="B99" s="189">
        <f t="shared" si="20"/>
        <v>7</v>
      </c>
      <c r="C99" s="112" t="str">
        <f t="shared" si="21"/>
        <v>ATK</v>
      </c>
      <c r="D99" s="7" t="s">
        <v>281</v>
      </c>
      <c r="E99" s="8" t="s">
        <v>789</v>
      </c>
      <c r="F99" s="8" t="s">
        <v>789</v>
      </c>
      <c r="G99" s="113">
        <f t="shared" si="22"/>
        <v>2</v>
      </c>
      <c r="H99" s="113" t="str">
        <f t="shared" si="23"/>
        <v>완료</v>
      </c>
      <c r="I99" s="117" t="s">
        <v>412</v>
      </c>
      <c r="J99" s="9" t="s">
        <v>198</v>
      </c>
      <c r="K99" s="10" t="s">
        <v>199</v>
      </c>
      <c r="L99" s="11" t="str">
        <f t="shared" si="24"/>
        <v>3T</v>
      </c>
      <c r="M99" s="18" t="s">
        <v>800</v>
      </c>
      <c r="N99" s="12" t="s">
        <v>801</v>
      </c>
      <c r="O99" s="18" t="s">
        <v>802</v>
      </c>
      <c r="P99" s="197" t="s">
        <v>801</v>
      </c>
      <c r="Q99" s="120" t="s">
        <v>803</v>
      </c>
      <c r="R99" s="13" t="s">
        <v>506</v>
      </c>
      <c r="S99" s="7">
        <v>1</v>
      </c>
      <c r="T99" s="14">
        <v>60</v>
      </c>
      <c r="U99" s="15">
        <f t="shared" si="25"/>
        <v>30</v>
      </c>
      <c r="V99" s="14">
        <v>2</v>
      </c>
      <c r="W99" s="15">
        <f t="shared" si="26"/>
        <v>28</v>
      </c>
      <c r="X99" s="9" t="s">
        <v>495</v>
      </c>
      <c r="Y99" s="7" t="s">
        <v>506</v>
      </c>
      <c r="Z99" s="16">
        <v>4</v>
      </c>
      <c r="AA99" s="17">
        <f t="shared" si="27"/>
        <v>0</v>
      </c>
      <c r="AB99" s="9" t="s">
        <v>422</v>
      </c>
    </row>
    <row r="100" spans="2:29">
      <c r="B100" s="189">
        <f t="shared" si="20"/>
        <v>7</v>
      </c>
      <c r="C100" s="112" t="str">
        <f t="shared" si="21"/>
        <v>ATK</v>
      </c>
      <c r="D100" s="7" t="s">
        <v>404</v>
      </c>
      <c r="E100" s="8" t="s">
        <v>789</v>
      </c>
      <c r="F100" s="8" t="s">
        <v>789</v>
      </c>
      <c r="G100" s="113">
        <f t="shared" si="22"/>
        <v>2</v>
      </c>
      <c r="H100" s="113" t="str">
        <f t="shared" si="23"/>
        <v>완료</v>
      </c>
      <c r="I100" s="117" t="s">
        <v>412</v>
      </c>
      <c r="J100" s="9" t="s">
        <v>491</v>
      </c>
      <c r="K100" s="10" t="s">
        <v>492</v>
      </c>
      <c r="L100" s="11" t="str">
        <f t="shared" si="24"/>
        <v>5T</v>
      </c>
      <c r="M100" s="18" t="s">
        <v>243</v>
      </c>
      <c r="N100" s="12" t="s">
        <v>609</v>
      </c>
      <c r="O100" s="18" t="s">
        <v>804</v>
      </c>
      <c r="P100" s="197" t="s">
        <v>506</v>
      </c>
      <c r="Q100" s="120" t="s">
        <v>805</v>
      </c>
      <c r="R100" s="13" t="s">
        <v>506</v>
      </c>
      <c r="S100" s="7">
        <v>1</v>
      </c>
      <c r="T100" s="14">
        <v>1900</v>
      </c>
      <c r="U100" s="15">
        <f t="shared" si="25"/>
        <v>950</v>
      </c>
      <c r="V100" s="14">
        <v>15</v>
      </c>
      <c r="W100" s="15">
        <f t="shared" si="26"/>
        <v>935</v>
      </c>
      <c r="X100" s="9" t="s">
        <v>495</v>
      </c>
      <c r="Y100" s="7" t="s">
        <v>506</v>
      </c>
      <c r="Z100" s="16">
        <v>4</v>
      </c>
      <c r="AA100" s="17">
        <f t="shared" si="27"/>
        <v>0</v>
      </c>
      <c r="AB100" s="9" t="s">
        <v>213</v>
      </c>
    </row>
    <row r="101" spans="2:29" ht="19.5" customHeight="1">
      <c r="B101" s="189">
        <f t="shared" si="20"/>
        <v>7</v>
      </c>
      <c r="C101" s="112" t="str">
        <f t="shared" si="21"/>
        <v>ATK</v>
      </c>
      <c r="D101" s="7" t="s">
        <v>282</v>
      </c>
      <c r="E101" s="8" t="s">
        <v>789</v>
      </c>
      <c r="F101" s="8" t="s">
        <v>724</v>
      </c>
      <c r="G101" s="113">
        <f t="shared" si="22"/>
        <v>2</v>
      </c>
      <c r="H101" s="113" t="str">
        <f t="shared" si="23"/>
        <v>완료</v>
      </c>
      <c r="I101" s="117" t="s">
        <v>412</v>
      </c>
      <c r="J101" s="9" t="s">
        <v>381</v>
      </c>
      <c r="K101" s="10" t="s">
        <v>435</v>
      </c>
      <c r="L101" s="11" t="str">
        <f t="shared" si="24"/>
        <v>2T</v>
      </c>
      <c r="M101" s="18" t="s">
        <v>793</v>
      </c>
      <c r="N101" s="12" t="s">
        <v>806</v>
      </c>
      <c r="O101" s="18" t="s">
        <v>187</v>
      </c>
      <c r="P101" s="197" t="s">
        <v>506</v>
      </c>
      <c r="Q101" s="120" t="s">
        <v>807</v>
      </c>
      <c r="R101" s="13" t="s">
        <v>506</v>
      </c>
      <c r="S101" s="7">
        <v>1</v>
      </c>
      <c r="T101" s="14">
        <v>6000</v>
      </c>
      <c r="U101" s="15">
        <f t="shared" si="25"/>
        <v>3000</v>
      </c>
      <c r="V101" s="14">
        <v>0</v>
      </c>
      <c r="W101" s="15">
        <f t="shared" si="26"/>
        <v>3000</v>
      </c>
      <c r="X101" s="9" t="s">
        <v>495</v>
      </c>
      <c r="Y101" s="7" t="s">
        <v>506</v>
      </c>
      <c r="Z101" s="16">
        <v>8</v>
      </c>
      <c r="AA101" s="17">
        <f t="shared" si="27"/>
        <v>2</v>
      </c>
      <c r="AB101" s="9" t="s">
        <v>376</v>
      </c>
    </row>
    <row r="102" spans="2:29">
      <c r="B102" s="189">
        <f t="shared" si="20"/>
        <v>7</v>
      </c>
      <c r="C102" s="112" t="str">
        <f t="shared" si="21"/>
        <v>ATK</v>
      </c>
      <c r="D102" s="7" t="s">
        <v>324</v>
      </c>
      <c r="E102" s="8" t="s">
        <v>789</v>
      </c>
      <c r="F102" s="8" t="s">
        <v>789</v>
      </c>
      <c r="G102" s="113">
        <f t="shared" si="22"/>
        <v>2</v>
      </c>
      <c r="H102" s="113" t="str">
        <f t="shared" si="23"/>
        <v>수리불가</v>
      </c>
      <c r="I102" s="117" t="s">
        <v>397</v>
      </c>
      <c r="J102" s="9" t="s">
        <v>566</v>
      </c>
      <c r="K102" s="10" t="s">
        <v>199</v>
      </c>
      <c r="L102" s="11" t="str">
        <f t="shared" si="24"/>
        <v>3T</v>
      </c>
      <c r="M102" s="18" t="s">
        <v>808</v>
      </c>
      <c r="N102" s="12" t="s">
        <v>239</v>
      </c>
      <c r="O102" s="18" t="s">
        <v>696</v>
      </c>
      <c r="P102" s="197" t="s">
        <v>506</v>
      </c>
      <c r="Q102" s="120" t="s">
        <v>809</v>
      </c>
      <c r="R102" s="13" t="s">
        <v>506</v>
      </c>
      <c r="S102" s="7">
        <v>1</v>
      </c>
      <c r="T102" s="14">
        <v>1000</v>
      </c>
      <c r="U102" s="15">
        <f t="shared" si="25"/>
        <v>500</v>
      </c>
      <c r="V102" s="14">
        <v>0</v>
      </c>
      <c r="W102" s="15">
        <f t="shared" si="26"/>
        <v>500</v>
      </c>
      <c r="X102" s="9" t="s">
        <v>495</v>
      </c>
      <c r="Y102" s="7" t="s">
        <v>506</v>
      </c>
      <c r="Z102" s="16">
        <v>3</v>
      </c>
      <c r="AA102" s="17">
        <f t="shared" si="27"/>
        <v>0</v>
      </c>
      <c r="AB102" s="9" t="s">
        <v>141</v>
      </c>
    </row>
    <row r="103" spans="2:29">
      <c r="B103" s="189">
        <f t="shared" si="20"/>
        <v>7</v>
      </c>
      <c r="C103" s="112" t="str">
        <f t="shared" si="21"/>
        <v>ATK</v>
      </c>
      <c r="D103" s="7" t="s">
        <v>389</v>
      </c>
      <c r="E103" s="8" t="s">
        <v>789</v>
      </c>
      <c r="F103" s="8" t="s">
        <v>724</v>
      </c>
      <c r="G103" s="113">
        <f t="shared" si="22"/>
        <v>2</v>
      </c>
      <c r="H103" s="113" t="str">
        <f t="shared" si="23"/>
        <v>Other</v>
      </c>
      <c r="I103" s="117" t="s">
        <v>401</v>
      </c>
      <c r="J103" s="9" t="s">
        <v>198</v>
      </c>
      <c r="K103" s="10" t="s">
        <v>170</v>
      </c>
      <c r="L103" s="11" t="str">
        <f t="shared" si="24"/>
        <v>2T</v>
      </c>
      <c r="M103" s="18" t="s">
        <v>182</v>
      </c>
      <c r="N103" s="12" t="s">
        <v>297</v>
      </c>
      <c r="O103" s="18" t="s">
        <v>631</v>
      </c>
      <c r="P103" s="197" t="s">
        <v>506</v>
      </c>
      <c r="Q103" s="120" t="s">
        <v>810</v>
      </c>
      <c r="R103" s="13" t="s">
        <v>506</v>
      </c>
      <c r="S103" s="7">
        <v>1</v>
      </c>
      <c r="T103" s="14">
        <v>1500</v>
      </c>
      <c r="U103" s="15">
        <f t="shared" si="25"/>
        <v>750</v>
      </c>
      <c r="V103" s="14">
        <v>0</v>
      </c>
      <c r="W103" s="15">
        <f t="shared" si="26"/>
        <v>750</v>
      </c>
      <c r="X103" s="9" t="s">
        <v>495</v>
      </c>
      <c r="Y103" s="7" t="s">
        <v>506</v>
      </c>
      <c r="Z103" s="16">
        <v>1</v>
      </c>
      <c r="AA103" s="17">
        <f t="shared" si="27"/>
        <v>2</v>
      </c>
      <c r="AB103" s="9" t="s">
        <v>494</v>
      </c>
    </row>
    <row r="104" spans="2:29" ht="24">
      <c r="B104" s="189">
        <f t="shared" si="20"/>
        <v>7</v>
      </c>
      <c r="C104" s="112" t="str">
        <f t="shared" si="21"/>
        <v>ATK</v>
      </c>
      <c r="D104" s="7" t="s">
        <v>219</v>
      </c>
      <c r="E104" s="8" t="s">
        <v>789</v>
      </c>
      <c r="F104" s="8" t="s">
        <v>789</v>
      </c>
      <c r="G104" s="113">
        <f t="shared" si="22"/>
        <v>2</v>
      </c>
      <c r="H104" s="113" t="str">
        <f t="shared" si="23"/>
        <v>완료</v>
      </c>
      <c r="I104" s="117" t="s">
        <v>412</v>
      </c>
      <c r="J104" s="9" t="s">
        <v>338</v>
      </c>
      <c r="K104" s="10" t="s">
        <v>206</v>
      </c>
      <c r="L104" s="11" t="str">
        <f t="shared" si="24"/>
        <v>1T</v>
      </c>
      <c r="M104" s="18" t="s">
        <v>207</v>
      </c>
      <c r="N104" s="12" t="s">
        <v>208</v>
      </c>
      <c r="O104" s="18" t="s">
        <v>209</v>
      </c>
      <c r="P104" s="197" t="s">
        <v>208</v>
      </c>
      <c r="Q104" s="120" t="s">
        <v>811</v>
      </c>
      <c r="R104" s="13" t="s">
        <v>235</v>
      </c>
      <c r="S104" s="7">
        <v>1</v>
      </c>
      <c r="T104" s="14">
        <v>2400</v>
      </c>
      <c r="U104" s="15">
        <f t="shared" si="25"/>
        <v>1200</v>
      </c>
      <c r="V104" s="14">
        <v>2</v>
      </c>
      <c r="W104" s="15">
        <f t="shared" si="26"/>
        <v>1198</v>
      </c>
      <c r="X104" s="9" t="s">
        <v>495</v>
      </c>
      <c r="Y104" s="7" t="s">
        <v>506</v>
      </c>
      <c r="Z104" s="16">
        <v>4</v>
      </c>
      <c r="AA104" s="17">
        <f t="shared" si="27"/>
        <v>0</v>
      </c>
      <c r="AB104" s="9" t="s">
        <v>422</v>
      </c>
    </row>
    <row r="105" spans="2:29" ht="24">
      <c r="B105" s="189">
        <f t="shared" si="20"/>
        <v>7</v>
      </c>
      <c r="C105" s="112" t="str">
        <f t="shared" si="21"/>
        <v>ATP</v>
      </c>
      <c r="D105" s="201" t="s">
        <v>179</v>
      </c>
      <c r="E105" s="8" t="s">
        <v>812</v>
      </c>
      <c r="F105" s="8" t="s">
        <v>724</v>
      </c>
      <c r="G105" s="113">
        <f t="shared" si="22"/>
        <v>2</v>
      </c>
      <c r="H105" s="113" t="str">
        <f t="shared" si="23"/>
        <v>완료</v>
      </c>
      <c r="I105" s="117" t="s">
        <v>412</v>
      </c>
      <c r="J105" s="9" t="s">
        <v>179</v>
      </c>
      <c r="K105" s="10" t="s">
        <v>179</v>
      </c>
      <c r="L105" s="11" t="str">
        <f t="shared" si="24"/>
        <v>AT</v>
      </c>
      <c r="M105" s="18" t="s">
        <v>813</v>
      </c>
      <c r="N105" s="12" t="s">
        <v>814</v>
      </c>
      <c r="O105" s="18" t="s">
        <v>815</v>
      </c>
      <c r="P105" s="197" t="s">
        <v>506</v>
      </c>
      <c r="Q105" s="120" t="s">
        <v>816</v>
      </c>
      <c r="R105" s="13" t="s">
        <v>506</v>
      </c>
      <c r="S105" s="7">
        <v>1</v>
      </c>
      <c r="T105" s="14">
        <v>5000</v>
      </c>
      <c r="U105" s="15">
        <f t="shared" si="25"/>
        <v>2500</v>
      </c>
      <c r="V105" s="14">
        <v>250</v>
      </c>
      <c r="W105" s="15">
        <f t="shared" si="26"/>
        <v>2250</v>
      </c>
      <c r="X105" s="9" t="s">
        <v>495</v>
      </c>
      <c r="Y105" s="7" t="s">
        <v>506</v>
      </c>
      <c r="Z105" s="16">
        <v>24</v>
      </c>
      <c r="AA105" s="17">
        <f t="shared" si="27"/>
        <v>7</v>
      </c>
      <c r="AB105" s="9" t="s">
        <v>213</v>
      </c>
    </row>
    <row r="106" spans="2:29" ht="24">
      <c r="B106" s="189">
        <f t="shared" si="20"/>
        <v>8</v>
      </c>
      <c r="C106" s="112" t="str">
        <f t="shared" si="21"/>
        <v>ATP</v>
      </c>
      <c r="D106" s="7" t="s">
        <v>179</v>
      </c>
      <c r="E106" s="8" t="s">
        <v>812</v>
      </c>
      <c r="F106" s="8" t="s">
        <v>579</v>
      </c>
      <c r="G106" s="113">
        <f t="shared" si="22"/>
        <v>2</v>
      </c>
      <c r="H106" s="113" t="str">
        <f t="shared" si="23"/>
        <v>완료</v>
      </c>
      <c r="I106" s="117" t="s">
        <v>398</v>
      </c>
      <c r="J106" s="9" t="s">
        <v>179</v>
      </c>
      <c r="K106" s="10" t="s">
        <v>179</v>
      </c>
      <c r="L106" s="11" t="str">
        <f t="shared" si="24"/>
        <v>AT</v>
      </c>
      <c r="M106" s="18" t="s">
        <v>817</v>
      </c>
      <c r="N106" s="12" t="s">
        <v>818</v>
      </c>
      <c r="O106" s="18" t="s">
        <v>819</v>
      </c>
      <c r="P106" s="197" t="s">
        <v>506</v>
      </c>
      <c r="Q106" s="120" t="s">
        <v>820</v>
      </c>
      <c r="R106" s="13" t="s">
        <v>506</v>
      </c>
      <c r="S106" s="7">
        <v>1</v>
      </c>
      <c r="T106" s="14">
        <v>10000</v>
      </c>
      <c r="U106" s="15">
        <f t="shared" si="25"/>
        <v>5000</v>
      </c>
      <c r="V106" s="14">
        <v>1250</v>
      </c>
      <c r="W106" s="15">
        <f t="shared" si="26"/>
        <v>3750</v>
      </c>
      <c r="X106" s="9" t="s">
        <v>236</v>
      </c>
      <c r="Y106" s="7" t="s">
        <v>237</v>
      </c>
      <c r="Z106" s="16">
        <v>5</v>
      </c>
      <c r="AA106" s="17">
        <f t="shared" si="27"/>
        <v>15</v>
      </c>
      <c r="AB106" s="9" t="s">
        <v>213</v>
      </c>
    </row>
    <row r="107" spans="2:29" ht="18.75" customHeight="1">
      <c r="B107" s="189">
        <f t="shared" si="20"/>
        <v>6</v>
      </c>
      <c r="C107" s="112" t="str">
        <f t="shared" si="21"/>
        <v>ATK</v>
      </c>
      <c r="D107" s="7" t="s">
        <v>337</v>
      </c>
      <c r="E107" s="8" t="s">
        <v>812</v>
      </c>
      <c r="F107" s="8" t="s">
        <v>812</v>
      </c>
      <c r="G107" s="113">
        <f t="shared" si="22"/>
        <v>2</v>
      </c>
      <c r="H107" s="113" t="str">
        <f t="shared" si="23"/>
        <v>완료</v>
      </c>
      <c r="I107" s="117" t="s">
        <v>412</v>
      </c>
      <c r="J107" s="9" t="s">
        <v>381</v>
      </c>
      <c r="K107" s="10" t="s">
        <v>435</v>
      </c>
      <c r="L107" s="11" t="str">
        <f t="shared" si="24"/>
        <v>2T</v>
      </c>
      <c r="M107" s="18" t="s">
        <v>580</v>
      </c>
      <c r="N107" s="12" t="s">
        <v>658</v>
      </c>
      <c r="O107" s="18" t="s">
        <v>659</v>
      </c>
      <c r="P107" s="197" t="s">
        <v>660</v>
      </c>
      <c r="Q107" s="120" t="s">
        <v>821</v>
      </c>
      <c r="R107" s="13" t="s">
        <v>662</v>
      </c>
      <c r="S107" s="7">
        <v>1</v>
      </c>
      <c r="T107" s="14">
        <v>5500</v>
      </c>
      <c r="U107" s="15">
        <f t="shared" si="25"/>
        <v>2750</v>
      </c>
      <c r="V107" s="14">
        <v>1</v>
      </c>
      <c r="W107" s="15">
        <f t="shared" si="26"/>
        <v>2749</v>
      </c>
      <c r="X107" s="9" t="s">
        <v>495</v>
      </c>
      <c r="Y107" s="7" t="s">
        <v>506</v>
      </c>
      <c r="Z107" s="16">
        <v>8</v>
      </c>
      <c r="AA107" s="17">
        <f t="shared" si="27"/>
        <v>0</v>
      </c>
      <c r="AB107" s="9" t="s">
        <v>422</v>
      </c>
    </row>
    <row r="108" spans="2:29">
      <c r="B108" s="189">
        <f t="shared" si="20"/>
        <v>7</v>
      </c>
      <c r="C108" s="112" t="str">
        <f t="shared" si="21"/>
        <v>ATK</v>
      </c>
      <c r="D108" s="7" t="s">
        <v>324</v>
      </c>
      <c r="E108" s="8" t="s">
        <v>812</v>
      </c>
      <c r="F108" s="8" t="s">
        <v>789</v>
      </c>
      <c r="G108" s="113">
        <f t="shared" si="22"/>
        <v>2</v>
      </c>
      <c r="H108" s="113" t="str">
        <f t="shared" si="23"/>
        <v>완료</v>
      </c>
      <c r="I108" s="117" t="s">
        <v>412</v>
      </c>
      <c r="J108" s="9" t="s">
        <v>198</v>
      </c>
      <c r="K108" s="10" t="s">
        <v>199</v>
      </c>
      <c r="L108" s="11" t="str">
        <f t="shared" si="24"/>
        <v>3T</v>
      </c>
      <c r="M108" s="18" t="s">
        <v>173</v>
      </c>
      <c r="N108" s="12" t="s">
        <v>822</v>
      </c>
      <c r="O108" s="18" t="s">
        <v>531</v>
      </c>
      <c r="P108" s="198" t="s">
        <v>823</v>
      </c>
      <c r="Q108" s="120" t="s">
        <v>824</v>
      </c>
      <c r="R108" s="13" t="s">
        <v>506</v>
      </c>
      <c r="S108" s="7">
        <v>3</v>
      </c>
      <c r="T108" s="14">
        <v>600</v>
      </c>
      <c r="U108" s="15">
        <f t="shared" si="25"/>
        <v>900</v>
      </c>
      <c r="V108" s="14">
        <v>12</v>
      </c>
      <c r="W108" s="15">
        <f t="shared" si="26"/>
        <v>888</v>
      </c>
      <c r="X108" s="9" t="s">
        <v>495</v>
      </c>
      <c r="Y108" s="7" t="s">
        <v>506</v>
      </c>
      <c r="Z108" s="16">
        <v>1</v>
      </c>
      <c r="AA108" s="17">
        <f t="shared" si="27"/>
        <v>5</v>
      </c>
      <c r="AB108" s="9" t="s">
        <v>213</v>
      </c>
    </row>
    <row r="109" spans="2:29">
      <c r="B109" s="189">
        <f t="shared" si="20"/>
        <v>7</v>
      </c>
      <c r="C109" s="112" t="str">
        <f t="shared" si="21"/>
        <v>ATK</v>
      </c>
      <c r="D109" s="7" t="s">
        <v>825</v>
      </c>
      <c r="E109" s="8" t="s">
        <v>812</v>
      </c>
      <c r="F109" s="8" t="s">
        <v>754</v>
      </c>
      <c r="G109" s="113">
        <f t="shared" si="22"/>
        <v>2</v>
      </c>
      <c r="H109" s="113" t="str">
        <f t="shared" si="23"/>
        <v>완료</v>
      </c>
      <c r="I109" s="117" t="s">
        <v>412</v>
      </c>
      <c r="J109" s="9" t="s">
        <v>338</v>
      </c>
      <c r="K109" s="10" t="s">
        <v>347</v>
      </c>
      <c r="L109" s="11" t="str">
        <f t="shared" si="24"/>
        <v>1T</v>
      </c>
      <c r="M109" s="18" t="s">
        <v>353</v>
      </c>
      <c r="N109" s="12" t="s">
        <v>826</v>
      </c>
      <c r="O109" s="18" t="s">
        <v>588</v>
      </c>
      <c r="P109" s="197" t="s">
        <v>506</v>
      </c>
      <c r="Q109" s="120" t="s">
        <v>827</v>
      </c>
      <c r="R109" s="13" t="s">
        <v>506</v>
      </c>
      <c r="S109" s="7">
        <v>1</v>
      </c>
      <c r="T109" s="14">
        <v>1000</v>
      </c>
      <c r="U109" s="15">
        <f t="shared" si="25"/>
        <v>500</v>
      </c>
      <c r="V109" s="14">
        <v>15</v>
      </c>
      <c r="W109" s="15">
        <f t="shared" si="26"/>
        <v>485</v>
      </c>
      <c r="X109" s="9" t="s">
        <v>495</v>
      </c>
      <c r="Y109" s="7" t="s">
        <v>506</v>
      </c>
      <c r="Z109" s="16">
        <v>3</v>
      </c>
      <c r="AA109" s="17">
        <f t="shared" si="27"/>
        <v>6</v>
      </c>
      <c r="AB109" s="9" t="s">
        <v>494</v>
      </c>
    </row>
    <row r="110" spans="2:29">
      <c r="B110" s="189">
        <f t="shared" si="20"/>
        <v>6</v>
      </c>
      <c r="C110" s="112" t="str">
        <f t="shared" si="21"/>
        <v>ATK</v>
      </c>
      <c r="D110" s="7" t="s">
        <v>273</v>
      </c>
      <c r="E110" s="8" t="s">
        <v>812</v>
      </c>
      <c r="F110" s="8" t="s">
        <v>812</v>
      </c>
      <c r="G110" s="113">
        <f t="shared" si="22"/>
        <v>2</v>
      </c>
      <c r="H110" s="113" t="str">
        <f t="shared" si="23"/>
        <v>완료</v>
      </c>
      <c r="I110" s="117" t="s">
        <v>412</v>
      </c>
      <c r="J110" s="9" t="s">
        <v>198</v>
      </c>
      <c r="K110" s="10" t="s">
        <v>199</v>
      </c>
      <c r="L110" s="11" t="str">
        <f t="shared" si="24"/>
        <v>3T</v>
      </c>
      <c r="M110" s="18" t="s">
        <v>828</v>
      </c>
      <c r="N110" s="12" t="s">
        <v>829</v>
      </c>
      <c r="O110" s="18" t="s">
        <v>830</v>
      </c>
      <c r="P110" s="197" t="s">
        <v>506</v>
      </c>
      <c r="Q110" s="120" t="s">
        <v>831</v>
      </c>
      <c r="R110" s="13" t="s">
        <v>506</v>
      </c>
      <c r="S110" s="7">
        <v>1</v>
      </c>
      <c r="T110" s="14">
        <v>900</v>
      </c>
      <c r="U110" s="15">
        <f t="shared" si="25"/>
        <v>450</v>
      </c>
      <c r="V110" s="14">
        <v>5</v>
      </c>
      <c r="W110" s="15">
        <f t="shared" si="26"/>
        <v>445</v>
      </c>
      <c r="X110" s="9" t="s">
        <v>495</v>
      </c>
      <c r="Y110" s="7" t="s">
        <v>506</v>
      </c>
      <c r="Z110" s="16">
        <v>1</v>
      </c>
      <c r="AA110" s="17">
        <f t="shared" si="27"/>
        <v>0</v>
      </c>
      <c r="AB110" s="9" t="s">
        <v>213</v>
      </c>
    </row>
    <row r="111" spans="2:29">
      <c r="B111" s="189">
        <f t="shared" si="20"/>
        <v>7</v>
      </c>
      <c r="C111" s="112" t="str">
        <f t="shared" si="21"/>
        <v>ATK</v>
      </c>
      <c r="D111" s="7" t="s">
        <v>215</v>
      </c>
      <c r="E111" s="8" t="s">
        <v>812</v>
      </c>
      <c r="F111" s="8" t="s">
        <v>789</v>
      </c>
      <c r="G111" s="113">
        <f t="shared" si="22"/>
        <v>2</v>
      </c>
      <c r="H111" s="113" t="str">
        <f t="shared" si="23"/>
        <v>완료</v>
      </c>
      <c r="I111" s="117" t="s">
        <v>412</v>
      </c>
      <c r="J111" s="9" t="s">
        <v>381</v>
      </c>
      <c r="K111" s="10" t="s">
        <v>435</v>
      </c>
      <c r="L111" s="11" t="str">
        <f t="shared" si="24"/>
        <v>2T</v>
      </c>
      <c r="M111" s="18" t="s">
        <v>339</v>
      </c>
      <c r="N111" s="12" t="s">
        <v>436</v>
      </c>
      <c r="O111" s="18" t="s">
        <v>203</v>
      </c>
      <c r="P111" s="197" t="s">
        <v>202</v>
      </c>
      <c r="Q111" s="120" t="s">
        <v>832</v>
      </c>
      <c r="R111" s="13" t="s">
        <v>506</v>
      </c>
      <c r="S111" s="7">
        <v>2</v>
      </c>
      <c r="T111" s="14">
        <v>1600</v>
      </c>
      <c r="U111" s="15">
        <f t="shared" si="25"/>
        <v>1600</v>
      </c>
      <c r="V111" s="14">
        <v>30</v>
      </c>
      <c r="W111" s="15">
        <f t="shared" si="26"/>
        <v>1570</v>
      </c>
      <c r="X111" s="9" t="s">
        <v>495</v>
      </c>
      <c r="Y111" s="7" t="s">
        <v>506</v>
      </c>
      <c r="Z111" s="16">
        <v>2</v>
      </c>
      <c r="AA111" s="17">
        <f t="shared" si="27"/>
        <v>5</v>
      </c>
      <c r="AB111" s="9" t="s">
        <v>376</v>
      </c>
    </row>
    <row r="112" spans="2:29">
      <c r="B112" s="189">
        <f t="shared" si="20"/>
        <v>7</v>
      </c>
      <c r="C112" s="112" t="str">
        <f t="shared" si="21"/>
        <v>ATK</v>
      </c>
      <c r="D112" s="7" t="s">
        <v>404</v>
      </c>
      <c r="E112" s="8" t="s">
        <v>812</v>
      </c>
      <c r="F112" s="8" t="s">
        <v>724</v>
      </c>
      <c r="G112" s="113">
        <f t="shared" si="22"/>
        <v>2</v>
      </c>
      <c r="H112" s="113" t="str">
        <f t="shared" si="23"/>
        <v>완료</v>
      </c>
      <c r="I112" s="117" t="s">
        <v>412</v>
      </c>
      <c r="J112" s="9" t="s">
        <v>491</v>
      </c>
      <c r="K112" s="10" t="s">
        <v>279</v>
      </c>
      <c r="L112" s="11" t="str">
        <f t="shared" si="24"/>
        <v>5T</v>
      </c>
      <c r="M112" s="18" t="s">
        <v>243</v>
      </c>
      <c r="N112" s="12" t="s">
        <v>833</v>
      </c>
      <c r="O112" s="18" t="s">
        <v>834</v>
      </c>
      <c r="P112" s="197" t="s">
        <v>506</v>
      </c>
      <c r="Q112" s="120" t="s">
        <v>835</v>
      </c>
      <c r="R112" s="13" t="s">
        <v>506</v>
      </c>
      <c r="S112" s="7">
        <v>1</v>
      </c>
      <c r="T112" s="14">
        <v>3000</v>
      </c>
      <c r="U112" s="15">
        <f t="shared" si="25"/>
        <v>1500</v>
      </c>
      <c r="V112" s="14">
        <v>0</v>
      </c>
      <c r="W112" s="15">
        <f t="shared" si="26"/>
        <v>1500</v>
      </c>
      <c r="X112" s="9" t="s">
        <v>495</v>
      </c>
      <c r="Y112" s="7" t="s">
        <v>506</v>
      </c>
      <c r="Z112" s="16">
        <v>2</v>
      </c>
      <c r="AA112" s="17">
        <f t="shared" si="27"/>
        <v>7</v>
      </c>
      <c r="AB112" s="9" t="s">
        <v>376</v>
      </c>
      <c r="AC112" s="202" t="s">
        <v>396</v>
      </c>
    </row>
    <row r="113" spans="2:29">
      <c r="B113" s="189">
        <f t="shared" si="20"/>
        <v>7</v>
      </c>
      <c r="C113" s="112" t="str">
        <f t="shared" si="21"/>
        <v>ATK</v>
      </c>
      <c r="D113" s="7" t="s">
        <v>281</v>
      </c>
      <c r="E113" s="8" t="s">
        <v>812</v>
      </c>
      <c r="F113" s="8" t="s">
        <v>683</v>
      </c>
      <c r="G113" s="113">
        <f t="shared" si="22"/>
        <v>2</v>
      </c>
      <c r="H113" s="113" t="str">
        <f t="shared" si="23"/>
        <v>완료</v>
      </c>
      <c r="I113" s="117" t="s">
        <v>412</v>
      </c>
      <c r="J113" s="9" t="s">
        <v>198</v>
      </c>
      <c r="K113" s="10" t="s">
        <v>199</v>
      </c>
      <c r="L113" s="11" t="str">
        <f t="shared" si="24"/>
        <v>3T</v>
      </c>
      <c r="M113" s="18" t="s">
        <v>182</v>
      </c>
      <c r="N113" s="12" t="s">
        <v>280</v>
      </c>
      <c r="O113" s="18" t="s">
        <v>182</v>
      </c>
      <c r="P113" s="197" t="s">
        <v>506</v>
      </c>
      <c r="Q113" s="120" t="s">
        <v>836</v>
      </c>
      <c r="R113" s="13" t="s">
        <v>506</v>
      </c>
      <c r="S113" s="7">
        <v>1</v>
      </c>
      <c r="T113" s="14">
        <v>710</v>
      </c>
      <c r="U113" s="15">
        <f t="shared" si="25"/>
        <v>355</v>
      </c>
      <c r="V113" s="14">
        <v>0</v>
      </c>
      <c r="W113" s="15">
        <f t="shared" si="26"/>
        <v>355</v>
      </c>
      <c r="X113" s="9" t="s">
        <v>495</v>
      </c>
      <c r="Y113" s="7" t="s">
        <v>506</v>
      </c>
      <c r="Z113" s="16">
        <v>1</v>
      </c>
      <c r="AA113" s="17">
        <f t="shared" si="27"/>
        <v>9</v>
      </c>
      <c r="AB113" s="9" t="s">
        <v>494</v>
      </c>
      <c r="AC113" s="202" t="s">
        <v>396</v>
      </c>
    </row>
    <row r="114" spans="2:29">
      <c r="B114" s="189">
        <f t="shared" si="20"/>
        <v>6</v>
      </c>
      <c r="C114" s="112" t="str">
        <f t="shared" si="21"/>
        <v>ATK</v>
      </c>
      <c r="D114" s="7" t="s">
        <v>287</v>
      </c>
      <c r="E114" s="8" t="s">
        <v>837</v>
      </c>
      <c r="F114" s="8" t="s">
        <v>837</v>
      </c>
      <c r="G114" s="113">
        <f t="shared" si="22"/>
        <v>2</v>
      </c>
      <c r="H114" s="113" t="str">
        <f t="shared" si="23"/>
        <v>완료</v>
      </c>
      <c r="I114" s="117" t="s">
        <v>412</v>
      </c>
      <c r="J114" s="9" t="s">
        <v>198</v>
      </c>
      <c r="K114" s="10" t="s">
        <v>199</v>
      </c>
      <c r="L114" s="11" t="str">
        <f t="shared" si="24"/>
        <v>3T</v>
      </c>
      <c r="M114" s="18" t="s">
        <v>838</v>
      </c>
      <c r="N114" s="12" t="s">
        <v>839</v>
      </c>
      <c r="O114" s="18" t="s">
        <v>298</v>
      </c>
      <c r="P114" s="197" t="s">
        <v>840</v>
      </c>
      <c r="Q114" s="120" t="s">
        <v>841</v>
      </c>
      <c r="R114" s="13" t="s">
        <v>842</v>
      </c>
      <c r="S114" s="7">
        <v>1</v>
      </c>
      <c r="T114" s="14">
        <v>150</v>
      </c>
      <c r="U114" s="15">
        <f t="shared" si="25"/>
        <v>75</v>
      </c>
      <c r="V114" s="14">
        <v>0</v>
      </c>
      <c r="W114" s="15">
        <f t="shared" si="26"/>
        <v>75</v>
      </c>
      <c r="X114" s="9" t="s">
        <v>495</v>
      </c>
      <c r="Y114" s="7" t="s">
        <v>506</v>
      </c>
      <c r="Z114" s="16">
        <v>8</v>
      </c>
      <c r="AA114" s="17">
        <f t="shared" si="27"/>
        <v>0</v>
      </c>
      <c r="AB114" s="9" t="s">
        <v>422</v>
      </c>
    </row>
    <row r="115" spans="2:29">
      <c r="B115" s="189">
        <f t="shared" si="20"/>
        <v>7</v>
      </c>
      <c r="C115" s="112" t="str">
        <f t="shared" si="21"/>
        <v>ATK</v>
      </c>
      <c r="D115" s="7" t="s">
        <v>663</v>
      </c>
      <c r="E115" s="8" t="s">
        <v>837</v>
      </c>
      <c r="F115" s="8" t="s">
        <v>683</v>
      </c>
      <c r="G115" s="113">
        <f t="shared" si="22"/>
        <v>2</v>
      </c>
      <c r="H115" s="113" t="str">
        <f t="shared" si="23"/>
        <v>완료</v>
      </c>
      <c r="I115" s="117" t="s">
        <v>412</v>
      </c>
      <c r="J115" s="9" t="s">
        <v>198</v>
      </c>
      <c r="K115" s="10" t="s">
        <v>199</v>
      </c>
      <c r="L115" s="11" t="str">
        <f t="shared" si="24"/>
        <v>3T</v>
      </c>
      <c r="M115" s="18" t="s">
        <v>664</v>
      </c>
      <c r="N115" s="12" t="s">
        <v>664</v>
      </c>
      <c r="O115" s="18" t="s">
        <v>665</v>
      </c>
      <c r="P115" s="198" t="s">
        <v>506</v>
      </c>
      <c r="Q115" s="120" t="s">
        <v>635</v>
      </c>
      <c r="R115" s="13" t="s">
        <v>506</v>
      </c>
      <c r="S115" s="7">
        <v>1</v>
      </c>
      <c r="T115" s="14">
        <v>6000</v>
      </c>
      <c r="U115" s="15">
        <f t="shared" si="25"/>
        <v>3000</v>
      </c>
      <c r="V115" s="14">
        <v>20</v>
      </c>
      <c r="W115" s="15">
        <f t="shared" si="26"/>
        <v>2980</v>
      </c>
      <c r="X115" s="9" t="s">
        <v>495</v>
      </c>
      <c r="Y115" s="7" t="s">
        <v>506</v>
      </c>
      <c r="Z115" s="16">
        <v>8</v>
      </c>
      <c r="AA115" s="17">
        <f t="shared" si="27"/>
        <v>10</v>
      </c>
      <c r="AB115" s="9" t="s">
        <v>376</v>
      </c>
    </row>
    <row r="116" spans="2:29">
      <c r="B116" s="189">
        <f t="shared" si="20"/>
        <v>6</v>
      </c>
      <c r="C116" s="112" t="str">
        <f t="shared" si="21"/>
        <v>ATK</v>
      </c>
      <c r="D116" s="7" t="s">
        <v>337</v>
      </c>
      <c r="E116" s="8" t="s">
        <v>837</v>
      </c>
      <c r="F116" s="8" t="s">
        <v>812</v>
      </c>
      <c r="G116" s="113">
        <f t="shared" si="22"/>
        <v>2</v>
      </c>
      <c r="H116" s="113" t="str">
        <f t="shared" si="23"/>
        <v>Other</v>
      </c>
      <c r="I116" s="117" t="s">
        <v>401</v>
      </c>
      <c r="J116" s="9" t="s">
        <v>338</v>
      </c>
      <c r="K116" s="10" t="s">
        <v>251</v>
      </c>
      <c r="L116" s="11" t="str">
        <f t="shared" si="24"/>
        <v>1T</v>
      </c>
      <c r="M116" s="18" t="s">
        <v>182</v>
      </c>
      <c r="N116" s="12" t="s">
        <v>297</v>
      </c>
      <c r="O116" s="18" t="s">
        <v>843</v>
      </c>
      <c r="P116" s="197" t="s">
        <v>506</v>
      </c>
      <c r="Q116" s="120" t="s">
        <v>844</v>
      </c>
      <c r="R116" s="13" t="s">
        <v>506</v>
      </c>
      <c r="S116" s="7">
        <v>1</v>
      </c>
      <c r="T116" s="14">
        <v>1500</v>
      </c>
      <c r="U116" s="15">
        <f t="shared" si="25"/>
        <v>750</v>
      </c>
      <c r="V116" s="14">
        <v>0</v>
      </c>
      <c r="W116" s="15">
        <f t="shared" si="26"/>
        <v>750</v>
      </c>
      <c r="X116" s="9" t="s">
        <v>495</v>
      </c>
      <c r="Y116" s="7" t="s">
        <v>506</v>
      </c>
      <c r="Z116" s="16">
        <v>1</v>
      </c>
      <c r="AA116" s="17">
        <f t="shared" si="27"/>
        <v>1</v>
      </c>
      <c r="AB116" s="9" t="s">
        <v>494</v>
      </c>
    </row>
    <row r="117" spans="2:29">
      <c r="B117" s="189">
        <f t="shared" si="20"/>
        <v>7</v>
      </c>
      <c r="C117" s="112" t="str">
        <f t="shared" si="21"/>
        <v>ATK</v>
      </c>
      <c r="D117" s="7" t="s">
        <v>191</v>
      </c>
      <c r="E117" s="8" t="s">
        <v>837</v>
      </c>
      <c r="F117" s="8" t="s">
        <v>754</v>
      </c>
      <c r="G117" s="113">
        <f t="shared" si="22"/>
        <v>2</v>
      </c>
      <c r="H117" s="113" t="str">
        <f t="shared" si="23"/>
        <v>완료</v>
      </c>
      <c r="I117" s="117" t="s">
        <v>412</v>
      </c>
      <c r="J117" s="9" t="s">
        <v>392</v>
      </c>
      <c r="K117" s="10" t="s">
        <v>393</v>
      </c>
      <c r="L117" s="11" t="str">
        <f t="shared" si="24"/>
        <v>EE</v>
      </c>
      <c r="M117" s="18" t="s">
        <v>339</v>
      </c>
      <c r="N117" s="12" t="s">
        <v>216</v>
      </c>
      <c r="O117" s="18" t="s">
        <v>845</v>
      </c>
      <c r="P117" s="197" t="s">
        <v>846</v>
      </c>
      <c r="Q117" s="120" t="s">
        <v>847</v>
      </c>
      <c r="R117" s="13" t="s">
        <v>506</v>
      </c>
      <c r="S117" s="7">
        <v>1</v>
      </c>
      <c r="T117" s="14">
        <v>2500</v>
      </c>
      <c r="U117" s="15">
        <f t="shared" si="25"/>
        <v>1250</v>
      </c>
      <c r="V117" s="14">
        <v>25</v>
      </c>
      <c r="W117" s="15">
        <f t="shared" si="26"/>
        <v>1225</v>
      </c>
      <c r="X117" s="9" t="s">
        <v>495</v>
      </c>
      <c r="Y117" s="7" t="s">
        <v>506</v>
      </c>
      <c r="Z117" s="16">
        <v>5</v>
      </c>
      <c r="AA117" s="17">
        <f t="shared" si="27"/>
        <v>7</v>
      </c>
      <c r="AB117" s="9" t="s">
        <v>376</v>
      </c>
    </row>
    <row r="118" spans="2:29" ht="24">
      <c r="B118" s="189">
        <f t="shared" si="20"/>
        <v>8</v>
      </c>
      <c r="C118" s="112" t="str">
        <f t="shared" si="21"/>
        <v>ATK</v>
      </c>
      <c r="D118" s="7" t="s">
        <v>774</v>
      </c>
      <c r="E118" s="8" t="s">
        <v>837</v>
      </c>
      <c r="F118" s="8" t="s">
        <v>579</v>
      </c>
      <c r="G118" s="113">
        <f t="shared" si="22"/>
        <v>2</v>
      </c>
      <c r="H118" s="113" t="str">
        <f t="shared" si="23"/>
        <v>완료</v>
      </c>
      <c r="I118" s="117" t="s">
        <v>412</v>
      </c>
      <c r="J118" s="9" t="s">
        <v>338</v>
      </c>
      <c r="K118" s="10" t="s">
        <v>347</v>
      </c>
      <c r="L118" s="11" t="str">
        <f t="shared" si="24"/>
        <v>1T</v>
      </c>
      <c r="M118" s="18" t="s">
        <v>848</v>
      </c>
      <c r="N118" s="12" t="s">
        <v>506</v>
      </c>
      <c r="O118" s="18" t="s">
        <v>849</v>
      </c>
      <c r="P118" s="197" t="s">
        <v>850</v>
      </c>
      <c r="Q118" s="120" t="s">
        <v>851</v>
      </c>
      <c r="R118" s="13" t="s">
        <v>852</v>
      </c>
      <c r="S118" s="7">
        <v>1</v>
      </c>
      <c r="T118" s="14">
        <v>4200</v>
      </c>
      <c r="U118" s="15">
        <f t="shared" si="25"/>
        <v>2100</v>
      </c>
      <c r="V118" s="14">
        <v>1</v>
      </c>
      <c r="W118" s="15">
        <f t="shared" si="26"/>
        <v>2099</v>
      </c>
      <c r="X118" s="9" t="s">
        <v>495</v>
      </c>
      <c r="Y118" s="7" t="s">
        <v>506</v>
      </c>
      <c r="Z118" s="16">
        <v>6</v>
      </c>
      <c r="AA118" s="17">
        <f t="shared" si="27"/>
        <v>16</v>
      </c>
      <c r="AB118" s="9" t="s">
        <v>422</v>
      </c>
    </row>
    <row r="119" spans="2:29" ht="24">
      <c r="B119" s="189" t="e">
        <f t="shared" si="20"/>
        <v>#VALUE!</v>
      </c>
      <c r="C119" s="112" t="str">
        <f t="shared" si="21"/>
        <v>ATK</v>
      </c>
      <c r="D119" s="7" t="s">
        <v>210</v>
      </c>
      <c r="E119" s="8" t="s">
        <v>853</v>
      </c>
      <c r="F119" s="8" t="s">
        <v>506</v>
      </c>
      <c r="G119" s="113" t="e">
        <f t="shared" si="22"/>
        <v>#VALUE!</v>
      </c>
      <c r="H119" s="113" t="str">
        <f t="shared" si="23"/>
        <v>수리중</v>
      </c>
      <c r="I119" s="117" t="s">
        <v>390</v>
      </c>
      <c r="J119" s="9" t="s">
        <v>392</v>
      </c>
      <c r="K119" s="10" t="s">
        <v>485</v>
      </c>
      <c r="L119" s="11" t="str">
        <f t="shared" si="24"/>
        <v>EE</v>
      </c>
      <c r="M119" s="18" t="s">
        <v>192</v>
      </c>
      <c r="N119" s="12" t="s">
        <v>854</v>
      </c>
      <c r="O119" s="18" t="s">
        <v>855</v>
      </c>
      <c r="P119" s="197" t="s">
        <v>506</v>
      </c>
      <c r="Q119" s="120" t="s">
        <v>856</v>
      </c>
      <c r="R119" s="13" t="s">
        <v>857</v>
      </c>
      <c r="S119" s="7">
        <v>2</v>
      </c>
      <c r="T119" s="14">
        <v>6000</v>
      </c>
      <c r="U119" s="15">
        <f t="shared" si="25"/>
        <v>6000</v>
      </c>
      <c r="V119" s="14">
        <v>0</v>
      </c>
      <c r="W119" s="15">
        <f t="shared" si="26"/>
        <v>6000</v>
      </c>
      <c r="X119" s="9" t="s">
        <v>236</v>
      </c>
      <c r="Y119" s="7" t="s">
        <v>237</v>
      </c>
      <c r="Z119" s="16">
        <v>1</v>
      </c>
      <c r="AA119" s="17" t="e">
        <f t="shared" si="27"/>
        <v>#VALUE!</v>
      </c>
      <c r="AB119" s="9" t="s">
        <v>213</v>
      </c>
    </row>
    <row r="120" spans="2:29">
      <c r="B120" s="189">
        <f t="shared" si="20"/>
        <v>6</v>
      </c>
      <c r="C120" s="112" t="str">
        <f t="shared" si="21"/>
        <v>ATK</v>
      </c>
      <c r="D120" s="7" t="s">
        <v>858</v>
      </c>
      <c r="E120" s="8" t="s">
        <v>853</v>
      </c>
      <c r="F120" s="8" t="s">
        <v>853</v>
      </c>
      <c r="G120" s="113">
        <f t="shared" si="22"/>
        <v>2</v>
      </c>
      <c r="H120" s="113" t="str">
        <f t="shared" si="23"/>
        <v>완료</v>
      </c>
      <c r="I120" s="117" t="s">
        <v>412</v>
      </c>
      <c r="J120" s="9" t="s">
        <v>392</v>
      </c>
      <c r="K120" s="10" t="s">
        <v>393</v>
      </c>
      <c r="L120" s="11" t="str">
        <f t="shared" si="24"/>
        <v>EE</v>
      </c>
      <c r="M120" s="18" t="s">
        <v>150</v>
      </c>
      <c r="N120" s="12" t="s">
        <v>859</v>
      </c>
      <c r="O120" s="18" t="s">
        <v>860</v>
      </c>
      <c r="P120" s="197" t="s">
        <v>506</v>
      </c>
      <c r="Q120" s="120" t="s">
        <v>861</v>
      </c>
      <c r="R120" s="13" t="s">
        <v>506</v>
      </c>
      <c r="S120" s="7">
        <v>1</v>
      </c>
      <c r="T120" s="14">
        <v>200</v>
      </c>
      <c r="U120" s="15">
        <f t="shared" si="25"/>
        <v>100</v>
      </c>
      <c r="V120" s="14">
        <v>1</v>
      </c>
      <c r="W120" s="15">
        <f t="shared" si="26"/>
        <v>99</v>
      </c>
      <c r="X120" s="9" t="s">
        <v>495</v>
      </c>
      <c r="Y120" s="7" t="s">
        <v>506</v>
      </c>
      <c r="Z120" s="16">
        <v>4</v>
      </c>
      <c r="AA120" s="17">
        <f t="shared" si="27"/>
        <v>0</v>
      </c>
      <c r="AB120" s="9" t="s">
        <v>376</v>
      </c>
    </row>
    <row r="121" spans="2:29">
      <c r="B121" s="189">
        <f t="shared" si="20"/>
        <v>6</v>
      </c>
      <c r="C121" s="112" t="str">
        <f t="shared" si="21"/>
        <v>ATK</v>
      </c>
      <c r="D121" s="7" t="s">
        <v>862</v>
      </c>
      <c r="E121" s="8" t="s">
        <v>853</v>
      </c>
      <c r="F121" s="8" t="s">
        <v>837</v>
      </c>
      <c r="G121" s="113">
        <f t="shared" si="22"/>
        <v>2</v>
      </c>
      <c r="H121" s="113" t="str">
        <f t="shared" si="23"/>
        <v>완료</v>
      </c>
      <c r="I121" s="117" t="s">
        <v>412</v>
      </c>
      <c r="J121" s="9" t="s">
        <v>162</v>
      </c>
      <c r="K121" s="10" t="s">
        <v>170</v>
      </c>
      <c r="L121" s="11" t="str">
        <f t="shared" si="24"/>
        <v>2T</v>
      </c>
      <c r="M121" s="18" t="s">
        <v>483</v>
      </c>
      <c r="N121" s="12" t="s">
        <v>863</v>
      </c>
      <c r="O121" s="18" t="s">
        <v>506</v>
      </c>
      <c r="P121" s="197" t="s">
        <v>506</v>
      </c>
      <c r="Q121" s="120" t="s">
        <v>864</v>
      </c>
      <c r="R121" s="13" t="s">
        <v>506</v>
      </c>
      <c r="S121" s="7">
        <v>2</v>
      </c>
      <c r="T121" s="14">
        <v>300</v>
      </c>
      <c r="U121" s="15">
        <f t="shared" si="25"/>
        <v>300</v>
      </c>
      <c r="V121" s="14">
        <v>0</v>
      </c>
      <c r="W121" s="15">
        <f t="shared" si="26"/>
        <v>300</v>
      </c>
      <c r="X121" s="9" t="s">
        <v>495</v>
      </c>
      <c r="Y121" s="7" t="s">
        <v>506</v>
      </c>
      <c r="Z121" s="16">
        <v>6</v>
      </c>
      <c r="AA121" s="17">
        <f t="shared" si="27"/>
        <v>1</v>
      </c>
      <c r="AB121" s="9" t="s">
        <v>141</v>
      </c>
    </row>
    <row r="122" spans="2:29">
      <c r="B122" s="189">
        <f t="shared" si="20"/>
        <v>6</v>
      </c>
      <c r="C122" s="112" t="str">
        <f t="shared" si="21"/>
        <v>ATK</v>
      </c>
      <c r="D122" s="7" t="s">
        <v>544</v>
      </c>
      <c r="E122" s="8" t="s">
        <v>853</v>
      </c>
      <c r="F122" s="8" t="s">
        <v>837</v>
      </c>
      <c r="G122" s="113">
        <f t="shared" si="22"/>
        <v>2</v>
      </c>
      <c r="H122" s="113" t="str">
        <f t="shared" si="23"/>
        <v>완료</v>
      </c>
      <c r="I122" s="117" t="s">
        <v>412</v>
      </c>
      <c r="J122" s="9" t="s">
        <v>198</v>
      </c>
      <c r="K122" s="10" t="s">
        <v>347</v>
      </c>
      <c r="L122" s="11" t="str">
        <f t="shared" si="24"/>
        <v>1T</v>
      </c>
      <c r="M122" s="18" t="s">
        <v>353</v>
      </c>
      <c r="N122" s="12" t="s">
        <v>865</v>
      </c>
      <c r="O122" s="18" t="s">
        <v>157</v>
      </c>
      <c r="P122" s="197" t="s">
        <v>506</v>
      </c>
      <c r="Q122" s="120" t="s">
        <v>866</v>
      </c>
      <c r="R122" s="13" t="s">
        <v>506</v>
      </c>
      <c r="S122" s="7">
        <v>1</v>
      </c>
      <c r="T122" s="14">
        <v>1200</v>
      </c>
      <c r="U122" s="15">
        <f t="shared" si="25"/>
        <v>600</v>
      </c>
      <c r="V122" s="14">
        <v>50</v>
      </c>
      <c r="W122" s="15">
        <f t="shared" si="26"/>
        <v>550</v>
      </c>
      <c r="X122" s="9" t="s">
        <v>495</v>
      </c>
      <c r="Y122" s="7" t="s">
        <v>506</v>
      </c>
      <c r="Z122" s="16">
        <v>2</v>
      </c>
      <c r="AA122" s="17">
        <f t="shared" si="27"/>
        <v>1</v>
      </c>
      <c r="AB122" s="9" t="s">
        <v>494</v>
      </c>
    </row>
    <row r="123" spans="2:29" ht="24">
      <c r="B123" s="189" t="e">
        <f t="shared" si="20"/>
        <v>#VALUE!</v>
      </c>
      <c r="C123" s="112" t="str">
        <f t="shared" si="21"/>
        <v>ATK</v>
      </c>
      <c r="D123" s="7" t="s">
        <v>862</v>
      </c>
      <c r="E123" s="8" t="s">
        <v>853</v>
      </c>
      <c r="F123" s="8" t="s">
        <v>506</v>
      </c>
      <c r="G123" s="113" t="e">
        <f t="shared" si="22"/>
        <v>#VALUE!</v>
      </c>
      <c r="H123" s="113" t="str">
        <f t="shared" si="23"/>
        <v>수리중</v>
      </c>
      <c r="I123" s="117" t="s">
        <v>490</v>
      </c>
      <c r="J123" s="9" t="s">
        <v>162</v>
      </c>
      <c r="K123" s="10" t="s">
        <v>170</v>
      </c>
      <c r="L123" s="11" t="str">
        <f t="shared" si="24"/>
        <v>2T</v>
      </c>
      <c r="M123" s="18" t="s">
        <v>483</v>
      </c>
      <c r="N123" s="12" t="s">
        <v>863</v>
      </c>
      <c r="O123" s="18" t="s">
        <v>506</v>
      </c>
      <c r="P123" s="197" t="s">
        <v>506</v>
      </c>
      <c r="Q123" s="120" t="s">
        <v>867</v>
      </c>
      <c r="R123" s="13" t="s">
        <v>506</v>
      </c>
      <c r="S123" s="7">
        <v>3</v>
      </c>
      <c r="T123" s="14">
        <v>300</v>
      </c>
      <c r="U123" s="15">
        <f t="shared" si="25"/>
        <v>450</v>
      </c>
      <c r="V123" s="14">
        <v>0</v>
      </c>
      <c r="W123" s="15">
        <f t="shared" si="26"/>
        <v>450</v>
      </c>
      <c r="X123" s="9" t="s">
        <v>495</v>
      </c>
      <c r="Y123" s="7" t="s">
        <v>506</v>
      </c>
      <c r="Z123" s="16">
        <v>0</v>
      </c>
      <c r="AA123" s="17" t="e">
        <f t="shared" si="27"/>
        <v>#VALUE!</v>
      </c>
      <c r="AB123" s="9" t="s">
        <v>141</v>
      </c>
    </row>
    <row r="124" spans="2:29">
      <c r="B124" s="189">
        <f t="shared" si="20"/>
        <v>7</v>
      </c>
      <c r="C124" s="112" t="str">
        <f t="shared" si="21"/>
        <v>ATK</v>
      </c>
      <c r="D124" s="7" t="s">
        <v>281</v>
      </c>
      <c r="E124" s="8" t="s">
        <v>853</v>
      </c>
      <c r="F124" s="8" t="s">
        <v>683</v>
      </c>
      <c r="G124" s="113">
        <f t="shared" si="22"/>
        <v>2</v>
      </c>
      <c r="H124" s="113" t="str">
        <f t="shared" si="23"/>
        <v>Other</v>
      </c>
      <c r="I124" s="117" t="s">
        <v>401</v>
      </c>
      <c r="J124" s="9" t="s">
        <v>198</v>
      </c>
      <c r="K124" s="10" t="s">
        <v>199</v>
      </c>
      <c r="L124" s="11" t="str">
        <f t="shared" si="24"/>
        <v>3T</v>
      </c>
      <c r="M124" s="18" t="s">
        <v>182</v>
      </c>
      <c r="N124" s="12" t="s">
        <v>611</v>
      </c>
      <c r="O124" s="18" t="s">
        <v>182</v>
      </c>
      <c r="P124" s="197" t="s">
        <v>506</v>
      </c>
      <c r="Q124" s="120" t="s">
        <v>868</v>
      </c>
      <c r="R124" s="13" t="s">
        <v>506</v>
      </c>
      <c r="S124" s="7">
        <v>1</v>
      </c>
      <c r="T124" s="14">
        <v>1500</v>
      </c>
      <c r="U124" s="15">
        <f t="shared" si="25"/>
        <v>750</v>
      </c>
      <c r="V124" s="14">
        <v>0</v>
      </c>
      <c r="W124" s="15">
        <f t="shared" si="26"/>
        <v>750</v>
      </c>
      <c r="X124" s="9" t="s">
        <v>495</v>
      </c>
      <c r="Y124" s="7" t="s">
        <v>506</v>
      </c>
      <c r="Z124" s="16">
        <v>1</v>
      </c>
      <c r="AA124" s="17">
        <f t="shared" si="27"/>
        <v>11</v>
      </c>
      <c r="AB124" s="9" t="s">
        <v>494</v>
      </c>
    </row>
    <row r="125" spans="2:29">
      <c r="B125" s="189">
        <f t="shared" si="20"/>
        <v>6</v>
      </c>
      <c r="C125" s="112" t="str">
        <f t="shared" si="21"/>
        <v>ATK</v>
      </c>
      <c r="D125" s="7" t="s">
        <v>159</v>
      </c>
      <c r="E125" s="8" t="s">
        <v>853</v>
      </c>
      <c r="F125" s="8" t="s">
        <v>853</v>
      </c>
      <c r="G125" s="113">
        <f t="shared" si="22"/>
        <v>2</v>
      </c>
      <c r="H125" s="113" t="str">
        <f t="shared" si="23"/>
        <v>완료</v>
      </c>
      <c r="I125" s="117" t="s">
        <v>412</v>
      </c>
      <c r="J125" s="9" t="s">
        <v>491</v>
      </c>
      <c r="K125" s="10" t="s">
        <v>492</v>
      </c>
      <c r="L125" s="11" t="str">
        <f t="shared" si="24"/>
        <v>5T</v>
      </c>
      <c r="M125" s="18" t="s">
        <v>869</v>
      </c>
      <c r="N125" s="12" t="s">
        <v>157</v>
      </c>
      <c r="O125" s="18" t="s">
        <v>870</v>
      </c>
      <c r="P125" s="197" t="s">
        <v>423</v>
      </c>
      <c r="Q125" s="120" t="s">
        <v>871</v>
      </c>
      <c r="R125" s="13" t="s">
        <v>872</v>
      </c>
      <c r="S125" s="7">
        <v>1</v>
      </c>
      <c r="T125" s="14">
        <v>170</v>
      </c>
      <c r="U125" s="15">
        <f t="shared" si="25"/>
        <v>85</v>
      </c>
      <c r="V125" s="14">
        <v>3</v>
      </c>
      <c r="W125" s="15">
        <f t="shared" si="26"/>
        <v>82</v>
      </c>
      <c r="X125" s="9" t="s">
        <v>495</v>
      </c>
      <c r="Y125" s="7" t="s">
        <v>506</v>
      </c>
      <c r="Z125" s="16">
        <v>8</v>
      </c>
      <c r="AA125" s="17">
        <f t="shared" si="27"/>
        <v>0</v>
      </c>
      <c r="AB125" s="9" t="s">
        <v>422</v>
      </c>
    </row>
    <row r="126" spans="2:29">
      <c r="B126" s="189" t="e">
        <f t="shared" si="20"/>
        <v>#VALUE!</v>
      </c>
      <c r="C126" s="112" t="str">
        <f t="shared" si="21"/>
        <v>ATK</v>
      </c>
      <c r="D126" s="7" t="s">
        <v>364</v>
      </c>
      <c r="E126" s="8" t="s">
        <v>873</v>
      </c>
      <c r="F126" s="8" t="s">
        <v>506</v>
      </c>
      <c r="G126" s="113" t="e">
        <f t="shared" si="22"/>
        <v>#VALUE!</v>
      </c>
      <c r="H126" s="113" t="str">
        <f t="shared" si="23"/>
        <v>수리중</v>
      </c>
      <c r="I126" s="117" t="s">
        <v>490</v>
      </c>
      <c r="J126" s="9" t="s">
        <v>338</v>
      </c>
      <c r="K126" s="10" t="s">
        <v>251</v>
      </c>
      <c r="L126" s="11" t="str">
        <f t="shared" si="24"/>
        <v>1T</v>
      </c>
      <c r="M126" s="18" t="s">
        <v>385</v>
      </c>
      <c r="N126" s="12" t="s">
        <v>874</v>
      </c>
      <c r="O126" s="18" t="s">
        <v>431</v>
      </c>
      <c r="P126" s="197" t="s">
        <v>227</v>
      </c>
      <c r="Q126" s="120" t="s">
        <v>532</v>
      </c>
      <c r="R126" s="13" t="s">
        <v>506</v>
      </c>
      <c r="S126" s="7">
        <v>1</v>
      </c>
      <c r="T126" s="14">
        <v>8000</v>
      </c>
      <c r="U126" s="15">
        <f t="shared" ref="U126" si="28">(T126*50)/100*S126</f>
        <v>4000</v>
      </c>
      <c r="V126" s="14">
        <v>1</v>
      </c>
      <c r="W126" s="15">
        <f t="shared" ref="W126" si="29">U126-V126</f>
        <v>3999</v>
      </c>
      <c r="X126" s="9" t="s">
        <v>495</v>
      </c>
      <c r="Y126" s="7" t="s">
        <v>506</v>
      </c>
      <c r="Z126" s="16">
        <v>1</v>
      </c>
      <c r="AA126" s="17" t="e">
        <f t="shared" ref="AA126" si="30">F126-E126</f>
        <v>#VALUE!</v>
      </c>
      <c r="AB126" s="9" t="s">
        <v>213</v>
      </c>
    </row>
    <row r="127" spans="2:29">
      <c r="B127" s="189">
        <f t="shared" si="20"/>
        <v>5</v>
      </c>
      <c r="C127" s="112" t="str">
        <f t="shared" si="21"/>
        <v>ATK</v>
      </c>
      <c r="D127" s="7" t="s">
        <v>404</v>
      </c>
      <c r="E127" s="8" t="s">
        <v>873</v>
      </c>
      <c r="F127" s="8" t="s">
        <v>873</v>
      </c>
      <c r="G127" s="113">
        <f t="shared" si="22"/>
        <v>2</v>
      </c>
      <c r="H127" s="113" t="str">
        <f t="shared" si="23"/>
        <v>완료</v>
      </c>
      <c r="I127" s="117" t="s">
        <v>412</v>
      </c>
      <c r="J127" s="9" t="s">
        <v>491</v>
      </c>
      <c r="K127" s="10" t="s">
        <v>492</v>
      </c>
      <c r="L127" s="11" t="str">
        <f t="shared" si="24"/>
        <v>5T</v>
      </c>
      <c r="M127" s="18" t="s">
        <v>875</v>
      </c>
      <c r="N127" s="12" t="s">
        <v>876</v>
      </c>
      <c r="O127" s="18" t="s">
        <v>446</v>
      </c>
      <c r="P127" s="197" t="s">
        <v>506</v>
      </c>
      <c r="Q127" s="120" t="s">
        <v>877</v>
      </c>
      <c r="R127" s="13" t="s">
        <v>506</v>
      </c>
      <c r="S127" s="7">
        <v>1</v>
      </c>
      <c r="T127" s="14">
        <v>1000</v>
      </c>
      <c r="U127" s="15">
        <f t="shared" si="25"/>
        <v>500</v>
      </c>
      <c r="V127" s="14">
        <v>15</v>
      </c>
      <c r="W127" s="15">
        <f t="shared" si="26"/>
        <v>485</v>
      </c>
      <c r="X127" s="9" t="s">
        <v>495</v>
      </c>
      <c r="Y127" s="7" t="s">
        <v>506</v>
      </c>
      <c r="Z127" s="16">
        <v>3</v>
      </c>
      <c r="AA127" s="17">
        <f t="shared" si="27"/>
        <v>0</v>
      </c>
      <c r="AB127" s="9" t="s">
        <v>494</v>
      </c>
    </row>
    <row r="128" spans="2:29" ht="48">
      <c r="B128" s="189">
        <f t="shared" si="20"/>
        <v>5</v>
      </c>
      <c r="C128" s="112" t="str">
        <f t="shared" si="21"/>
        <v>ATK</v>
      </c>
      <c r="D128" s="7" t="s">
        <v>878</v>
      </c>
      <c r="E128" s="8" t="s">
        <v>873</v>
      </c>
      <c r="F128" s="8" t="s">
        <v>873</v>
      </c>
      <c r="G128" s="113">
        <f t="shared" si="22"/>
        <v>2</v>
      </c>
      <c r="H128" s="113" t="str">
        <f t="shared" si="23"/>
        <v>완료</v>
      </c>
      <c r="I128" s="117" t="s">
        <v>412</v>
      </c>
      <c r="J128" s="9" t="s">
        <v>408</v>
      </c>
      <c r="K128" s="10" t="s">
        <v>352</v>
      </c>
      <c r="L128" s="11" t="str">
        <f t="shared" si="24"/>
        <v>K5</v>
      </c>
      <c r="M128" s="18" t="s">
        <v>182</v>
      </c>
      <c r="N128" s="12" t="s">
        <v>879</v>
      </c>
      <c r="O128" s="18" t="s">
        <v>880</v>
      </c>
      <c r="P128" s="197" t="s">
        <v>881</v>
      </c>
      <c r="Q128" s="120" t="s">
        <v>882</v>
      </c>
      <c r="R128" s="13" t="s">
        <v>506</v>
      </c>
      <c r="S128" s="7">
        <v>1</v>
      </c>
      <c r="T128" s="14">
        <v>650</v>
      </c>
      <c r="U128" s="15">
        <f t="shared" si="25"/>
        <v>325</v>
      </c>
      <c r="V128" s="14">
        <v>1</v>
      </c>
      <c r="W128" s="15">
        <f t="shared" si="26"/>
        <v>324</v>
      </c>
      <c r="X128" s="9" t="s">
        <v>495</v>
      </c>
      <c r="Y128" s="7" t="s">
        <v>506</v>
      </c>
      <c r="Z128" s="16">
        <v>2</v>
      </c>
      <c r="AA128" s="17">
        <f t="shared" si="27"/>
        <v>0</v>
      </c>
      <c r="AB128" s="9" t="s">
        <v>422</v>
      </c>
    </row>
    <row r="129" spans="2:28" ht="48">
      <c r="B129" s="189">
        <f t="shared" si="20"/>
        <v>5</v>
      </c>
      <c r="C129" s="112" t="str">
        <f t="shared" si="21"/>
        <v>ATK</v>
      </c>
      <c r="D129" s="7" t="s">
        <v>878</v>
      </c>
      <c r="E129" s="8" t="s">
        <v>873</v>
      </c>
      <c r="F129" s="8" t="s">
        <v>873</v>
      </c>
      <c r="G129" s="113">
        <f t="shared" si="22"/>
        <v>2</v>
      </c>
      <c r="H129" s="113" t="str">
        <f t="shared" si="23"/>
        <v>완료</v>
      </c>
      <c r="I129" s="117" t="s">
        <v>412</v>
      </c>
      <c r="J129" s="9" t="s">
        <v>408</v>
      </c>
      <c r="K129" s="10" t="s">
        <v>352</v>
      </c>
      <c r="L129" s="11" t="str">
        <f t="shared" si="24"/>
        <v>K5</v>
      </c>
      <c r="M129" s="18" t="s">
        <v>182</v>
      </c>
      <c r="N129" s="12" t="s">
        <v>879</v>
      </c>
      <c r="O129" s="18" t="s">
        <v>880</v>
      </c>
      <c r="P129" s="197" t="s">
        <v>881</v>
      </c>
      <c r="Q129" s="120" t="s">
        <v>882</v>
      </c>
      <c r="R129" s="13" t="s">
        <v>506</v>
      </c>
      <c r="S129" s="7">
        <v>1</v>
      </c>
      <c r="T129" s="14">
        <v>650</v>
      </c>
      <c r="U129" s="15">
        <f t="shared" si="25"/>
        <v>325</v>
      </c>
      <c r="V129" s="14">
        <v>1</v>
      </c>
      <c r="W129" s="15">
        <f t="shared" si="26"/>
        <v>324</v>
      </c>
      <c r="X129" s="9" t="s">
        <v>495</v>
      </c>
      <c r="Y129" s="7" t="s">
        <v>506</v>
      </c>
      <c r="Z129" s="16">
        <v>3</v>
      </c>
      <c r="AA129" s="17">
        <f t="shared" si="27"/>
        <v>0</v>
      </c>
      <c r="AB129" s="9" t="s">
        <v>422</v>
      </c>
    </row>
    <row r="130" spans="2:28" ht="48">
      <c r="B130" s="189">
        <f t="shared" si="20"/>
        <v>5</v>
      </c>
      <c r="C130" s="112" t="str">
        <f t="shared" si="21"/>
        <v>ATK</v>
      </c>
      <c r="D130" s="7" t="s">
        <v>878</v>
      </c>
      <c r="E130" s="8" t="s">
        <v>873</v>
      </c>
      <c r="F130" s="8" t="s">
        <v>873</v>
      </c>
      <c r="G130" s="113">
        <f t="shared" si="22"/>
        <v>2</v>
      </c>
      <c r="H130" s="113" t="str">
        <f t="shared" si="23"/>
        <v>완료</v>
      </c>
      <c r="I130" s="117" t="s">
        <v>412</v>
      </c>
      <c r="J130" s="9" t="s">
        <v>408</v>
      </c>
      <c r="K130" s="10" t="s">
        <v>352</v>
      </c>
      <c r="L130" s="11" t="str">
        <f t="shared" ref="L130:L192" si="31">LEFT(K130,2)</f>
        <v>K5</v>
      </c>
      <c r="M130" s="18" t="s">
        <v>182</v>
      </c>
      <c r="N130" s="12" t="s">
        <v>879</v>
      </c>
      <c r="O130" s="18" t="s">
        <v>880</v>
      </c>
      <c r="P130" s="197" t="s">
        <v>881</v>
      </c>
      <c r="Q130" s="120" t="s">
        <v>882</v>
      </c>
      <c r="R130" s="13" t="s">
        <v>506</v>
      </c>
      <c r="S130" s="7">
        <v>1</v>
      </c>
      <c r="T130" s="14">
        <v>650</v>
      </c>
      <c r="U130" s="15">
        <f t="shared" si="25"/>
        <v>325</v>
      </c>
      <c r="V130" s="14">
        <v>1</v>
      </c>
      <c r="W130" s="15">
        <f t="shared" si="26"/>
        <v>324</v>
      </c>
      <c r="X130" s="9" t="s">
        <v>495</v>
      </c>
      <c r="Y130" s="7" t="s">
        <v>506</v>
      </c>
      <c r="Z130" s="16">
        <v>3</v>
      </c>
      <c r="AA130" s="17">
        <f t="shared" si="27"/>
        <v>0</v>
      </c>
      <c r="AB130" s="9" t="s">
        <v>422</v>
      </c>
    </row>
    <row r="131" spans="2:28">
      <c r="B131" s="189">
        <f t="shared" ref="B131:B193" si="32">IF(F131&gt;0,IFERROR(WEEKNUM(F131),"")-1,"")</f>
        <v>6</v>
      </c>
      <c r="C131" s="112" t="str">
        <f t="shared" ref="C131:C193" si="33">IF(D131=0,"",(IF(LEFT(D131,3)="ATK","ATK",IF(LEFT(D131,2)="AT",D131,"ATK"))))</f>
        <v>ATK</v>
      </c>
      <c r="D131" s="7" t="s">
        <v>737</v>
      </c>
      <c r="E131" s="8" t="s">
        <v>873</v>
      </c>
      <c r="F131" s="8" t="s">
        <v>853</v>
      </c>
      <c r="G131" s="113">
        <f t="shared" ref="G131:G193" si="34">IF(F131&gt;0,MONTH(F131),"")</f>
        <v>2</v>
      </c>
      <c r="H131" s="113" t="str">
        <f t="shared" ref="H131:H193" si="35">IF(I131=0,"",IF(RIGHT(I131,2)="완료","완료",IF(RIGHT(I131,2)="불가","수리불가",IF(RIGHT(I131,1)="중","수리중","Other"))))</f>
        <v>완료</v>
      </c>
      <c r="I131" s="117" t="s">
        <v>412</v>
      </c>
      <c r="J131" s="9" t="s">
        <v>198</v>
      </c>
      <c r="K131" s="10" t="s">
        <v>186</v>
      </c>
      <c r="L131" s="11" t="str">
        <f t="shared" si="31"/>
        <v>3T</v>
      </c>
      <c r="M131" s="18" t="s">
        <v>738</v>
      </c>
      <c r="N131" s="12" t="s">
        <v>675</v>
      </c>
      <c r="O131" s="18" t="s">
        <v>739</v>
      </c>
      <c r="P131" s="197" t="s">
        <v>506</v>
      </c>
      <c r="Q131" s="120" t="s">
        <v>883</v>
      </c>
      <c r="R131" s="13" t="s">
        <v>506</v>
      </c>
      <c r="S131" s="7">
        <v>1</v>
      </c>
      <c r="T131" s="14">
        <v>3000</v>
      </c>
      <c r="U131" s="15">
        <f t="shared" si="25"/>
        <v>1500</v>
      </c>
      <c r="V131" s="14">
        <v>0</v>
      </c>
      <c r="W131" s="15">
        <f t="shared" si="26"/>
        <v>1500</v>
      </c>
      <c r="X131" s="9" t="s">
        <v>495</v>
      </c>
      <c r="Y131" s="7" t="s">
        <v>506</v>
      </c>
      <c r="Z131" s="16">
        <v>6</v>
      </c>
      <c r="AA131" s="17">
        <f t="shared" si="27"/>
        <v>3</v>
      </c>
      <c r="AB131" s="9" t="s">
        <v>141</v>
      </c>
    </row>
    <row r="132" spans="2:28" ht="24">
      <c r="B132" s="189">
        <f t="shared" si="32"/>
        <v>6</v>
      </c>
      <c r="C132" s="112" t="str">
        <f t="shared" si="33"/>
        <v>ATK</v>
      </c>
      <c r="D132" s="7" t="s">
        <v>884</v>
      </c>
      <c r="E132" s="8" t="s">
        <v>873</v>
      </c>
      <c r="F132" s="8" t="s">
        <v>837</v>
      </c>
      <c r="G132" s="113">
        <f t="shared" si="34"/>
        <v>2</v>
      </c>
      <c r="H132" s="113" t="str">
        <f t="shared" si="35"/>
        <v>완료</v>
      </c>
      <c r="I132" s="117" t="s">
        <v>412</v>
      </c>
      <c r="J132" s="9" t="s">
        <v>520</v>
      </c>
      <c r="K132" s="10" t="s">
        <v>520</v>
      </c>
      <c r="L132" s="11" t="str">
        <f t="shared" si="31"/>
        <v>OT</v>
      </c>
      <c r="M132" s="18" t="s">
        <v>438</v>
      </c>
      <c r="N132" s="12" t="s">
        <v>885</v>
      </c>
      <c r="O132" s="18" t="s">
        <v>886</v>
      </c>
      <c r="P132" s="197" t="s">
        <v>506</v>
      </c>
      <c r="Q132" s="120" t="s">
        <v>887</v>
      </c>
      <c r="R132" s="13" t="s">
        <v>506</v>
      </c>
      <c r="S132" s="7">
        <v>1</v>
      </c>
      <c r="T132" s="14">
        <v>1000</v>
      </c>
      <c r="U132" s="15">
        <f t="shared" si="25"/>
        <v>500</v>
      </c>
      <c r="V132" s="14">
        <v>0</v>
      </c>
      <c r="W132" s="15">
        <f t="shared" si="26"/>
        <v>500</v>
      </c>
      <c r="X132" s="9" t="s">
        <v>495</v>
      </c>
      <c r="Y132" s="7" t="s">
        <v>506</v>
      </c>
      <c r="Z132" s="16">
        <v>2</v>
      </c>
      <c r="AA132" s="17">
        <f t="shared" si="27"/>
        <v>4</v>
      </c>
      <c r="AB132" s="9" t="s">
        <v>494</v>
      </c>
    </row>
    <row r="133" spans="2:28" ht="60">
      <c r="B133" s="189">
        <f t="shared" si="32"/>
        <v>7</v>
      </c>
      <c r="C133" s="112" t="str">
        <f t="shared" si="33"/>
        <v>ATK</v>
      </c>
      <c r="D133" s="7" t="s">
        <v>888</v>
      </c>
      <c r="E133" s="8" t="s">
        <v>873</v>
      </c>
      <c r="F133" s="8" t="s">
        <v>789</v>
      </c>
      <c r="G133" s="113">
        <f t="shared" si="34"/>
        <v>2</v>
      </c>
      <c r="H133" s="113" t="str">
        <f t="shared" si="35"/>
        <v>완료</v>
      </c>
      <c r="I133" s="117" t="s">
        <v>412</v>
      </c>
      <c r="J133" s="9" t="s">
        <v>338</v>
      </c>
      <c r="K133" s="10" t="s">
        <v>347</v>
      </c>
      <c r="L133" s="11" t="str">
        <f t="shared" si="31"/>
        <v>1T</v>
      </c>
      <c r="M133" s="18" t="s">
        <v>501</v>
      </c>
      <c r="N133" s="12" t="s">
        <v>889</v>
      </c>
      <c r="O133" s="18" t="s">
        <v>890</v>
      </c>
      <c r="P133" s="197" t="s">
        <v>890</v>
      </c>
      <c r="Q133" s="120" t="s">
        <v>891</v>
      </c>
      <c r="R133" s="13" t="s">
        <v>892</v>
      </c>
      <c r="S133" s="7">
        <v>1</v>
      </c>
      <c r="T133" s="14">
        <v>2650</v>
      </c>
      <c r="U133" s="15">
        <f t="shared" ref="U133:U195" si="36">(T133*50)/100*S133</f>
        <v>1325</v>
      </c>
      <c r="V133" s="14">
        <v>2</v>
      </c>
      <c r="W133" s="15">
        <f t="shared" ref="W133:W195" si="37">U133-V133</f>
        <v>1323</v>
      </c>
      <c r="X133" s="9" t="s">
        <v>495</v>
      </c>
      <c r="Y133" s="7" t="s">
        <v>506</v>
      </c>
      <c r="Z133" s="16">
        <v>5</v>
      </c>
      <c r="AA133" s="17">
        <f t="shared" ref="AA133:AA195" si="38">F133-E133</f>
        <v>10</v>
      </c>
      <c r="AB133" s="9" t="s">
        <v>422</v>
      </c>
    </row>
    <row r="134" spans="2:28" ht="48">
      <c r="B134" s="189">
        <f t="shared" si="32"/>
        <v>5</v>
      </c>
      <c r="C134" s="112" t="str">
        <f t="shared" si="33"/>
        <v>ATK</v>
      </c>
      <c r="D134" s="7" t="s">
        <v>878</v>
      </c>
      <c r="E134" s="8" t="s">
        <v>893</v>
      </c>
      <c r="F134" s="8" t="s">
        <v>893</v>
      </c>
      <c r="G134" s="113">
        <f t="shared" si="34"/>
        <v>2</v>
      </c>
      <c r="H134" s="113" t="str">
        <f t="shared" si="35"/>
        <v>완료</v>
      </c>
      <c r="I134" s="117" t="s">
        <v>412</v>
      </c>
      <c r="J134" s="9" t="s">
        <v>408</v>
      </c>
      <c r="K134" s="10" t="s">
        <v>352</v>
      </c>
      <c r="L134" s="11" t="str">
        <f t="shared" si="31"/>
        <v>K5</v>
      </c>
      <c r="M134" s="18" t="s">
        <v>182</v>
      </c>
      <c r="N134" s="12" t="s">
        <v>879</v>
      </c>
      <c r="O134" s="18" t="s">
        <v>880</v>
      </c>
      <c r="P134" s="197" t="s">
        <v>881</v>
      </c>
      <c r="Q134" s="120" t="s">
        <v>882</v>
      </c>
      <c r="R134" s="13" t="s">
        <v>506</v>
      </c>
      <c r="S134" s="7">
        <v>1</v>
      </c>
      <c r="T134" s="14">
        <v>650</v>
      </c>
      <c r="U134" s="15">
        <f t="shared" si="36"/>
        <v>325</v>
      </c>
      <c r="V134" s="14">
        <v>1</v>
      </c>
      <c r="W134" s="15">
        <f t="shared" si="37"/>
        <v>324</v>
      </c>
      <c r="X134" s="9" t="s">
        <v>495</v>
      </c>
      <c r="Y134" s="7" t="s">
        <v>506</v>
      </c>
      <c r="Z134" s="16">
        <v>3</v>
      </c>
      <c r="AA134" s="17">
        <f t="shared" si="38"/>
        <v>0</v>
      </c>
      <c r="AB134" s="9" t="s">
        <v>422</v>
      </c>
    </row>
    <row r="135" spans="2:28">
      <c r="B135" s="189">
        <f t="shared" si="32"/>
        <v>5</v>
      </c>
      <c r="C135" s="112" t="str">
        <f t="shared" si="33"/>
        <v>ATK</v>
      </c>
      <c r="D135" s="7" t="s">
        <v>404</v>
      </c>
      <c r="E135" s="8" t="s">
        <v>893</v>
      </c>
      <c r="F135" s="8" t="s">
        <v>893</v>
      </c>
      <c r="G135" s="113">
        <f t="shared" si="34"/>
        <v>2</v>
      </c>
      <c r="H135" s="113" t="str">
        <f t="shared" si="35"/>
        <v>완료</v>
      </c>
      <c r="I135" s="117" t="s">
        <v>412</v>
      </c>
      <c r="J135" s="9" t="s">
        <v>491</v>
      </c>
      <c r="K135" s="10" t="s">
        <v>492</v>
      </c>
      <c r="L135" s="11" t="str">
        <f t="shared" si="31"/>
        <v>5T</v>
      </c>
      <c r="M135" s="18" t="s">
        <v>875</v>
      </c>
      <c r="N135" s="12" t="s">
        <v>876</v>
      </c>
      <c r="O135" s="18" t="s">
        <v>894</v>
      </c>
      <c r="P135" s="197" t="s">
        <v>506</v>
      </c>
      <c r="Q135" s="120" t="s">
        <v>895</v>
      </c>
      <c r="R135" s="13" t="s">
        <v>506</v>
      </c>
      <c r="S135" s="7">
        <v>1</v>
      </c>
      <c r="T135" s="14">
        <v>1000</v>
      </c>
      <c r="U135" s="15">
        <f t="shared" si="36"/>
        <v>500</v>
      </c>
      <c r="V135" s="14">
        <v>5</v>
      </c>
      <c r="W135" s="15">
        <f t="shared" si="37"/>
        <v>495</v>
      </c>
      <c r="X135" s="9" t="s">
        <v>495</v>
      </c>
      <c r="Y135" s="7" t="s">
        <v>506</v>
      </c>
      <c r="Z135" s="16">
        <v>2</v>
      </c>
      <c r="AA135" s="17">
        <f t="shared" si="38"/>
        <v>0</v>
      </c>
      <c r="AB135" s="9" t="s">
        <v>494</v>
      </c>
    </row>
    <row r="136" spans="2:28">
      <c r="B136" s="189" t="e">
        <f t="shared" si="32"/>
        <v>#VALUE!</v>
      </c>
      <c r="C136" s="112" t="str">
        <f t="shared" si="33"/>
        <v>ATK</v>
      </c>
      <c r="D136" s="7" t="s">
        <v>489</v>
      </c>
      <c r="E136" s="8" t="s">
        <v>893</v>
      </c>
      <c r="F136" s="8" t="s">
        <v>506</v>
      </c>
      <c r="G136" s="113" t="e">
        <f t="shared" si="34"/>
        <v>#VALUE!</v>
      </c>
      <c r="H136" s="113" t="str">
        <f t="shared" si="35"/>
        <v>수리중</v>
      </c>
      <c r="I136" s="117" t="s">
        <v>490</v>
      </c>
      <c r="J136" s="9" t="s">
        <v>198</v>
      </c>
      <c r="K136" s="10" t="s">
        <v>145</v>
      </c>
      <c r="L136" s="11" t="str">
        <f t="shared" si="31"/>
        <v>3T</v>
      </c>
      <c r="M136" s="18" t="s">
        <v>192</v>
      </c>
      <c r="N136" s="12" t="s">
        <v>146</v>
      </c>
      <c r="O136" s="18" t="s">
        <v>147</v>
      </c>
      <c r="P136" s="197" t="s">
        <v>506</v>
      </c>
      <c r="Q136" s="120" t="s">
        <v>896</v>
      </c>
      <c r="R136" s="13" t="s">
        <v>506</v>
      </c>
      <c r="S136" s="7">
        <v>2</v>
      </c>
      <c r="T136" s="14">
        <v>5000</v>
      </c>
      <c r="U136" s="15">
        <f t="shared" si="36"/>
        <v>5000</v>
      </c>
      <c r="V136" s="14">
        <v>0</v>
      </c>
      <c r="W136" s="15">
        <f t="shared" si="37"/>
        <v>5000</v>
      </c>
      <c r="X136" s="9" t="s">
        <v>495</v>
      </c>
      <c r="Y136" s="7" t="s">
        <v>506</v>
      </c>
      <c r="Z136" s="16">
        <v>0</v>
      </c>
      <c r="AA136" s="17" t="e">
        <f t="shared" si="38"/>
        <v>#VALUE!</v>
      </c>
      <c r="AB136" s="9" t="s">
        <v>213</v>
      </c>
    </row>
    <row r="137" spans="2:28">
      <c r="B137" s="189">
        <f t="shared" si="32"/>
        <v>5</v>
      </c>
      <c r="C137" s="112" t="str">
        <f t="shared" si="33"/>
        <v>ATK</v>
      </c>
      <c r="D137" s="7" t="s">
        <v>407</v>
      </c>
      <c r="E137" s="8" t="s">
        <v>893</v>
      </c>
      <c r="F137" s="8" t="s">
        <v>893</v>
      </c>
      <c r="G137" s="113">
        <f t="shared" si="34"/>
        <v>2</v>
      </c>
      <c r="H137" s="113" t="str">
        <f t="shared" si="35"/>
        <v>완료</v>
      </c>
      <c r="I137" s="117" t="s">
        <v>412</v>
      </c>
      <c r="J137" s="9" t="s">
        <v>491</v>
      </c>
      <c r="K137" s="10" t="s">
        <v>163</v>
      </c>
      <c r="L137" s="11" t="str">
        <f t="shared" si="31"/>
        <v>6T</v>
      </c>
      <c r="M137" s="18" t="s">
        <v>793</v>
      </c>
      <c r="N137" s="12" t="s">
        <v>584</v>
      </c>
      <c r="O137" s="18" t="s">
        <v>897</v>
      </c>
      <c r="P137" s="197" t="s">
        <v>506</v>
      </c>
      <c r="Q137" s="120" t="s">
        <v>898</v>
      </c>
      <c r="R137" s="13" t="s">
        <v>506</v>
      </c>
      <c r="S137" s="7">
        <v>1</v>
      </c>
      <c r="T137" s="14">
        <v>3000</v>
      </c>
      <c r="U137" s="15">
        <f t="shared" si="36"/>
        <v>1500</v>
      </c>
      <c r="V137" s="14">
        <v>5</v>
      </c>
      <c r="W137" s="15">
        <f t="shared" si="37"/>
        <v>1495</v>
      </c>
      <c r="X137" s="9" t="s">
        <v>495</v>
      </c>
      <c r="Y137" s="7" t="s">
        <v>506</v>
      </c>
      <c r="Z137" s="16">
        <v>2</v>
      </c>
      <c r="AA137" s="17">
        <f t="shared" si="38"/>
        <v>0</v>
      </c>
      <c r="AB137" s="9" t="s">
        <v>494</v>
      </c>
    </row>
    <row r="138" spans="2:28">
      <c r="B138" s="189">
        <f t="shared" si="32"/>
        <v>7</v>
      </c>
      <c r="C138" s="112" t="str">
        <f t="shared" si="33"/>
        <v>ATK</v>
      </c>
      <c r="D138" s="7" t="s">
        <v>899</v>
      </c>
      <c r="E138" s="8" t="s">
        <v>893</v>
      </c>
      <c r="F138" s="8" t="s">
        <v>706</v>
      </c>
      <c r="G138" s="113">
        <f t="shared" si="34"/>
        <v>2</v>
      </c>
      <c r="H138" s="113" t="str">
        <f t="shared" si="35"/>
        <v>완료</v>
      </c>
      <c r="I138" s="117" t="s">
        <v>412</v>
      </c>
      <c r="J138" s="9" t="s">
        <v>198</v>
      </c>
      <c r="K138" s="10" t="s">
        <v>186</v>
      </c>
      <c r="L138" s="11" t="str">
        <f t="shared" si="31"/>
        <v>3T</v>
      </c>
      <c r="M138" s="18" t="s">
        <v>182</v>
      </c>
      <c r="N138" s="12" t="s">
        <v>280</v>
      </c>
      <c r="O138" s="18" t="s">
        <v>182</v>
      </c>
      <c r="P138" s="197" t="s">
        <v>506</v>
      </c>
      <c r="Q138" s="120" t="s">
        <v>900</v>
      </c>
      <c r="R138" s="13" t="s">
        <v>506</v>
      </c>
      <c r="S138" s="7">
        <v>2</v>
      </c>
      <c r="T138" s="14">
        <v>710</v>
      </c>
      <c r="U138" s="15">
        <f t="shared" si="36"/>
        <v>710</v>
      </c>
      <c r="V138" s="14">
        <v>0</v>
      </c>
      <c r="W138" s="15">
        <f t="shared" si="37"/>
        <v>710</v>
      </c>
      <c r="X138" s="9" t="s">
        <v>495</v>
      </c>
      <c r="Y138" s="7" t="s">
        <v>506</v>
      </c>
      <c r="Z138" s="16">
        <v>4</v>
      </c>
      <c r="AA138" s="17">
        <f t="shared" si="38"/>
        <v>14</v>
      </c>
      <c r="AB138" s="9" t="s">
        <v>494</v>
      </c>
    </row>
    <row r="139" spans="2:28">
      <c r="B139" s="189">
        <f t="shared" si="32"/>
        <v>7</v>
      </c>
      <c r="C139" s="112" t="str">
        <f t="shared" si="33"/>
        <v>ATK</v>
      </c>
      <c r="D139" s="7" t="s">
        <v>899</v>
      </c>
      <c r="E139" s="8" t="s">
        <v>893</v>
      </c>
      <c r="F139" s="8" t="s">
        <v>724</v>
      </c>
      <c r="G139" s="113">
        <f t="shared" si="34"/>
        <v>2</v>
      </c>
      <c r="H139" s="113" t="str">
        <f t="shared" si="35"/>
        <v>완료</v>
      </c>
      <c r="I139" s="117" t="s">
        <v>412</v>
      </c>
      <c r="J139" s="9" t="s">
        <v>198</v>
      </c>
      <c r="K139" s="10" t="s">
        <v>186</v>
      </c>
      <c r="L139" s="11" t="str">
        <f t="shared" si="31"/>
        <v>3T</v>
      </c>
      <c r="M139" s="18" t="s">
        <v>182</v>
      </c>
      <c r="N139" s="12" t="s">
        <v>278</v>
      </c>
      <c r="O139" s="18" t="s">
        <v>182</v>
      </c>
      <c r="P139" s="197" t="s">
        <v>506</v>
      </c>
      <c r="Q139" s="120" t="s">
        <v>901</v>
      </c>
      <c r="R139" s="13" t="s">
        <v>506</v>
      </c>
      <c r="S139" s="7">
        <v>1</v>
      </c>
      <c r="T139" s="14">
        <v>910</v>
      </c>
      <c r="U139" s="15">
        <f t="shared" si="36"/>
        <v>455</v>
      </c>
      <c r="V139" s="14">
        <v>0</v>
      </c>
      <c r="W139" s="15">
        <f t="shared" si="37"/>
        <v>455</v>
      </c>
      <c r="X139" s="9" t="s">
        <v>495</v>
      </c>
      <c r="Y139" s="7" t="s">
        <v>506</v>
      </c>
      <c r="Z139" s="16">
        <v>2</v>
      </c>
      <c r="AA139" s="17">
        <f t="shared" si="38"/>
        <v>13</v>
      </c>
      <c r="AB139" s="9" t="s">
        <v>494</v>
      </c>
    </row>
    <row r="140" spans="2:28">
      <c r="B140" s="189">
        <f t="shared" si="32"/>
        <v>6</v>
      </c>
      <c r="C140" s="112" t="str">
        <f t="shared" si="33"/>
        <v>ATK</v>
      </c>
      <c r="D140" s="7" t="s">
        <v>899</v>
      </c>
      <c r="E140" s="8" t="s">
        <v>893</v>
      </c>
      <c r="F140" s="8" t="s">
        <v>812</v>
      </c>
      <c r="G140" s="113">
        <f t="shared" si="34"/>
        <v>2</v>
      </c>
      <c r="H140" s="113" t="str">
        <f t="shared" si="35"/>
        <v>Other</v>
      </c>
      <c r="I140" s="117" t="s">
        <v>401</v>
      </c>
      <c r="J140" s="9" t="s">
        <v>198</v>
      </c>
      <c r="K140" s="10" t="s">
        <v>186</v>
      </c>
      <c r="L140" s="11" t="str">
        <f t="shared" si="31"/>
        <v>3T</v>
      </c>
      <c r="M140" s="18" t="s">
        <v>182</v>
      </c>
      <c r="N140" s="12" t="s">
        <v>297</v>
      </c>
      <c r="O140" s="18" t="s">
        <v>182</v>
      </c>
      <c r="P140" s="197" t="s">
        <v>506</v>
      </c>
      <c r="Q140" s="120" t="s">
        <v>902</v>
      </c>
      <c r="R140" s="13" t="s">
        <v>506</v>
      </c>
      <c r="S140" s="7">
        <v>1</v>
      </c>
      <c r="T140" s="14">
        <v>1500</v>
      </c>
      <c r="U140" s="15">
        <f t="shared" si="36"/>
        <v>750</v>
      </c>
      <c r="V140" s="14">
        <v>0</v>
      </c>
      <c r="W140" s="15">
        <f t="shared" si="37"/>
        <v>750</v>
      </c>
      <c r="X140" s="9" t="s">
        <v>495</v>
      </c>
      <c r="Y140" s="7" t="s">
        <v>506</v>
      </c>
      <c r="Z140" s="16">
        <v>1</v>
      </c>
      <c r="AA140" s="17">
        <f t="shared" si="38"/>
        <v>6</v>
      </c>
      <c r="AB140" s="9" t="s">
        <v>494</v>
      </c>
    </row>
    <row r="141" spans="2:28" ht="36">
      <c r="B141" s="189">
        <f t="shared" si="32"/>
        <v>7</v>
      </c>
      <c r="C141" s="112" t="str">
        <f t="shared" si="33"/>
        <v>ATK</v>
      </c>
      <c r="D141" s="7" t="s">
        <v>282</v>
      </c>
      <c r="E141" s="8" t="s">
        <v>893</v>
      </c>
      <c r="F141" s="8" t="s">
        <v>724</v>
      </c>
      <c r="G141" s="113">
        <f t="shared" si="34"/>
        <v>2</v>
      </c>
      <c r="H141" s="113" t="str">
        <f t="shared" si="35"/>
        <v>완료</v>
      </c>
      <c r="I141" s="117" t="s">
        <v>412</v>
      </c>
      <c r="J141" s="9" t="s">
        <v>381</v>
      </c>
      <c r="K141" s="10" t="s">
        <v>435</v>
      </c>
      <c r="L141" s="11" t="str">
        <f t="shared" si="31"/>
        <v>2T</v>
      </c>
      <c r="M141" s="18" t="s">
        <v>793</v>
      </c>
      <c r="N141" s="12" t="s">
        <v>903</v>
      </c>
      <c r="O141" s="18" t="s">
        <v>187</v>
      </c>
      <c r="P141" s="197" t="s">
        <v>506</v>
      </c>
      <c r="Q141" s="120" t="s">
        <v>807</v>
      </c>
      <c r="R141" s="13" t="s">
        <v>506</v>
      </c>
      <c r="S141" s="7">
        <v>1</v>
      </c>
      <c r="T141" s="14">
        <v>6000</v>
      </c>
      <c r="U141" s="15">
        <f t="shared" si="36"/>
        <v>3000</v>
      </c>
      <c r="V141" s="14">
        <v>0</v>
      </c>
      <c r="W141" s="15">
        <f t="shared" si="37"/>
        <v>3000</v>
      </c>
      <c r="X141" s="9" t="s">
        <v>495</v>
      </c>
      <c r="Y141" s="7" t="s">
        <v>506</v>
      </c>
      <c r="Z141" s="16">
        <v>8</v>
      </c>
      <c r="AA141" s="17">
        <f t="shared" si="38"/>
        <v>13</v>
      </c>
      <c r="AB141" s="9" t="s">
        <v>376</v>
      </c>
    </row>
    <row r="142" spans="2:28">
      <c r="B142" s="189">
        <f t="shared" si="32"/>
        <v>5</v>
      </c>
      <c r="C142" s="112" t="str">
        <f t="shared" si="33"/>
        <v>ATK</v>
      </c>
      <c r="D142" s="7" t="s">
        <v>219</v>
      </c>
      <c r="E142" s="8" t="s">
        <v>893</v>
      </c>
      <c r="F142" s="8" t="s">
        <v>873</v>
      </c>
      <c r="G142" s="113">
        <f t="shared" si="34"/>
        <v>2</v>
      </c>
      <c r="H142" s="113" t="str">
        <f t="shared" si="35"/>
        <v>완료</v>
      </c>
      <c r="I142" s="117" t="s">
        <v>412</v>
      </c>
      <c r="J142" s="9" t="s">
        <v>338</v>
      </c>
      <c r="K142" s="10" t="s">
        <v>206</v>
      </c>
      <c r="L142" s="11" t="str">
        <f t="shared" si="31"/>
        <v>1T</v>
      </c>
      <c r="M142" s="18" t="s">
        <v>904</v>
      </c>
      <c r="N142" s="12" t="s">
        <v>905</v>
      </c>
      <c r="O142" s="18" t="s">
        <v>906</v>
      </c>
      <c r="P142" s="197" t="s">
        <v>286</v>
      </c>
      <c r="Q142" s="120" t="s">
        <v>907</v>
      </c>
      <c r="R142" s="13" t="s">
        <v>506</v>
      </c>
      <c r="S142" s="7">
        <v>1</v>
      </c>
      <c r="T142" s="14">
        <v>1000</v>
      </c>
      <c r="U142" s="15">
        <f t="shared" si="36"/>
        <v>500</v>
      </c>
      <c r="V142" s="14">
        <v>20</v>
      </c>
      <c r="W142" s="15">
        <f t="shared" si="37"/>
        <v>480</v>
      </c>
      <c r="X142" s="9" t="s">
        <v>495</v>
      </c>
      <c r="Y142" s="7" t="s">
        <v>506</v>
      </c>
      <c r="Z142" s="16">
        <v>5</v>
      </c>
      <c r="AA142" s="17">
        <f t="shared" si="38"/>
        <v>1</v>
      </c>
      <c r="AB142" s="9" t="s">
        <v>141</v>
      </c>
    </row>
    <row r="143" spans="2:28" ht="24">
      <c r="B143" s="189">
        <f t="shared" si="32"/>
        <v>7</v>
      </c>
      <c r="C143" s="112" t="str">
        <f t="shared" si="33"/>
        <v>ATK</v>
      </c>
      <c r="D143" s="7" t="s">
        <v>337</v>
      </c>
      <c r="E143" s="8" t="s">
        <v>893</v>
      </c>
      <c r="F143" s="8" t="s">
        <v>683</v>
      </c>
      <c r="G143" s="113">
        <f t="shared" si="34"/>
        <v>2</v>
      </c>
      <c r="H143" s="113" t="str">
        <f t="shared" si="35"/>
        <v>완료</v>
      </c>
      <c r="I143" s="117" t="s">
        <v>412</v>
      </c>
      <c r="J143" s="9" t="s">
        <v>338</v>
      </c>
      <c r="K143" s="10" t="s">
        <v>251</v>
      </c>
      <c r="L143" s="11" t="str">
        <f t="shared" si="31"/>
        <v>1T</v>
      </c>
      <c r="M143" s="18" t="s">
        <v>339</v>
      </c>
      <c r="N143" s="12" t="s">
        <v>908</v>
      </c>
      <c r="O143" s="18" t="s">
        <v>909</v>
      </c>
      <c r="P143" s="197" t="s">
        <v>910</v>
      </c>
      <c r="Q143" s="120" t="s">
        <v>911</v>
      </c>
      <c r="R143" s="13" t="s">
        <v>912</v>
      </c>
      <c r="S143" s="7">
        <v>1</v>
      </c>
      <c r="T143" s="14">
        <v>3500</v>
      </c>
      <c r="U143" s="15">
        <f t="shared" si="36"/>
        <v>1750</v>
      </c>
      <c r="V143" s="14">
        <v>30</v>
      </c>
      <c r="W143" s="15">
        <f t="shared" si="37"/>
        <v>1720</v>
      </c>
      <c r="X143" s="9" t="s">
        <v>495</v>
      </c>
      <c r="Y143" s="7" t="s">
        <v>506</v>
      </c>
      <c r="Z143" s="16">
        <v>6</v>
      </c>
      <c r="AA143" s="17">
        <f t="shared" si="38"/>
        <v>15</v>
      </c>
      <c r="AB143" s="9" t="s">
        <v>376</v>
      </c>
    </row>
    <row r="144" spans="2:28">
      <c r="B144" s="189">
        <f t="shared" si="32"/>
        <v>5</v>
      </c>
      <c r="C144" s="112" t="str">
        <f t="shared" si="33"/>
        <v>ATK</v>
      </c>
      <c r="D144" s="7" t="s">
        <v>913</v>
      </c>
      <c r="E144" s="8" t="s">
        <v>914</v>
      </c>
      <c r="F144" s="8" t="s">
        <v>914</v>
      </c>
      <c r="G144" s="113">
        <f t="shared" si="34"/>
        <v>2</v>
      </c>
      <c r="H144" s="113" t="str">
        <f t="shared" si="35"/>
        <v>완료</v>
      </c>
      <c r="I144" s="117" t="s">
        <v>412</v>
      </c>
      <c r="J144" s="9" t="s">
        <v>381</v>
      </c>
      <c r="K144" s="10" t="s">
        <v>170</v>
      </c>
      <c r="L144" s="11" t="str">
        <f t="shared" si="31"/>
        <v>2T</v>
      </c>
      <c r="M144" s="18" t="s">
        <v>763</v>
      </c>
      <c r="N144" s="12" t="s">
        <v>915</v>
      </c>
      <c r="O144" s="18" t="s">
        <v>916</v>
      </c>
      <c r="P144" s="197" t="s">
        <v>506</v>
      </c>
      <c r="Q144" s="120" t="s">
        <v>532</v>
      </c>
      <c r="R144" s="13" t="s">
        <v>506</v>
      </c>
      <c r="S144" s="7">
        <v>1</v>
      </c>
      <c r="T144" s="14">
        <v>5000</v>
      </c>
      <c r="U144" s="15">
        <f t="shared" si="36"/>
        <v>2500</v>
      </c>
      <c r="V144" s="14">
        <v>40</v>
      </c>
      <c r="W144" s="15">
        <f t="shared" si="37"/>
        <v>2460</v>
      </c>
      <c r="X144" s="9" t="s">
        <v>495</v>
      </c>
      <c r="Y144" s="7" t="s">
        <v>506</v>
      </c>
      <c r="Z144" s="16">
        <v>6</v>
      </c>
      <c r="AA144" s="17">
        <f t="shared" si="38"/>
        <v>0</v>
      </c>
      <c r="AB144" s="9" t="s">
        <v>213</v>
      </c>
    </row>
    <row r="145" spans="2:29">
      <c r="B145" s="189">
        <f t="shared" si="32"/>
        <v>5</v>
      </c>
      <c r="C145" s="112" t="str">
        <f t="shared" si="33"/>
        <v>ATK</v>
      </c>
      <c r="D145" s="7" t="s">
        <v>346</v>
      </c>
      <c r="E145" s="8" t="s">
        <v>914</v>
      </c>
      <c r="F145" s="8" t="s">
        <v>914</v>
      </c>
      <c r="G145" s="113">
        <f t="shared" si="34"/>
        <v>2</v>
      </c>
      <c r="H145" s="113" t="str">
        <f t="shared" si="35"/>
        <v>완료</v>
      </c>
      <c r="I145" s="117" t="s">
        <v>412</v>
      </c>
      <c r="J145" s="9" t="s">
        <v>392</v>
      </c>
      <c r="K145" s="10" t="s">
        <v>485</v>
      </c>
      <c r="L145" s="11" t="str">
        <f t="shared" si="31"/>
        <v>EE</v>
      </c>
      <c r="M145" s="18" t="s">
        <v>438</v>
      </c>
      <c r="N145" s="12" t="s">
        <v>917</v>
      </c>
      <c r="O145" s="18" t="s">
        <v>918</v>
      </c>
      <c r="P145" s="197" t="s">
        <v>506</v>
      </c>
      <c r="Q145" s="120" t="s">
        <v>919</v>
      </c>
      <c r="R145" s="13" t="s">
        <v>506</v>
      </c>
      <c r="S145" s="7">
        <v>1</v>
      </c>
      <c r="T145" s="14">
        <v>100</v>
      </c>
      <c r="U145" s="15">
        <f t="shared" si="36"/>
        <v>50</v>
      </c>
      <c r="V145" s="14">
        <v>0</v>
      </c>
      <c r="W145" s="15">
        <f t="shared" si="37"/>
        <v>50</v>
      </c>
      <c r="X145" s="9" t="s">
        <v>495</v>
      </c>
      <c r="Y145" s="7" t="s">
        <v>506</v>
      </c>
      <c r="Z145" s="16">
        <v>1</v>
      </c>
      <c r="AA145" s="17">
        <f t="shared" si="38"/>
        <v>0</v>
      </c>
      <c r="AB145" s="9" t="s">
        <v>494</v>
      </c>
    </row>
    <row r="146" spans="2:29">
      <c r="B146" s="189">
        <f t="shared" si="32"/>
        <v>6</v>
      </c>
      <c r="C146" s="112" t="str">
        <f t="shared" si="33"/>
        <v>ATK</v>
      </c>
      <c r="D146" s="7" t="s">
        <v>920</v>
      </c>
      <c r="E146" s="8" t="s">
        <v>914</v>
      </c>
      <c r="F146" s="8" t="s">
        <v>853</v>
      </c>
      <c r="G146" s="113">
        <f t="shared" si="34"/>
        <v>2</v>
      </c>
      <c r="H146" s="113" t="str">
        <f t="shared" si="35"/>
        <v>완료</v>
      </c>
      <c r="I146" s="117" t="s">
        <v>412</v>
      </c>
      <c r="J146" s="9" t="s">
        <v>392</v>
      </c>
      <c r="K146" s="10" t="s">
        <v>393</v>
      </c>
      <c r="L146" s="11" t="str">
        <f t="shared" si="31"/>
        <v>EE</v>
      </c>
      <c r="M146" s="18" t="s">
        <v>339</v>
      </c>
      <c r="N146" s="12" t="s">
        <v>216</v>
      </c>
      <c r="O146" s="18" t="s">
        <v>845</v>
      </c>
      <c r="P146" s="197" t="s">
        <v>846</v>
      </c>
      <c r="Q146" s="120" t="s">
        <v>921</v>
      </c>
      <c r="R146" s="13" t="s">
        <v>506</v>
      </c>
      <c r="S146" s="7">
        <v>1</v>
      </c>
      <c r="T146" s="14">
        <v>2500</v>
      </c>
      <c r="U146" s="15">
        <f t="shared" si="36"/>
        <v>1250</v>
      </c>
      <c r="V146" s="14">
        <v>25</v>
      </c>
      <c r="W146" s="15">
        <f t="shared" si="37"/>
        <v>1225</v>
      </c>
      <c r="X146" s="9" t="s">
        <v>495</v>
      </c>
      <c r="Y146" s="7" t="s">
        <v>506</v>
      </c>
      <c r="Z146" s="16">
        <v>3</v>
      </c>
      <c r="AA146" s="17">
        <f t="shared" si="38"/>
        <v>5</v>
      </c>
      <c r="AB146" s="9" t="s">
        <v>494</v>
      </c>
    </row>
    <row r="147" spans="2:29">
      <c r="B147" s="189">
        <f t="shared" si="32"/>
        <v>5</v>
      </c>
      <c r="C147" s="112" t="str">
        <f t="shared" si="33"/>
        <v>ATK</v>
      </c>
      <c r="D147" s="7" t="s">
        <v>913</v>
      </c>
      <c r="E147" s="8" t="s">
        <v>914</v>
      </c>
      <c r="F147" s="8" t="s">
        <v>914</v>
      </c>
      <c r="G147" s="113">
        <f t="shared" si="34"/>
        <v>2</v>
      </c>
      <c r="H147" s="113" t="str">
        <f t="shared" si="35"/>
        <v>완료</v>
      </c>
      <c r="I147" s="117" t="s">
        <v>412</v>
      </c>
      <c r="J147" s="9" t="s">
        <v>381</v>
      </c>
      <c r="K147" s="10" t="s">
        <v>170</v>
      </c>
      <c r="L147" s="11" t="str">
        <f t="shared" si="31"/>
        <v>2T</v>
      </c>
      <c r="M147" s="18" t="s">
        <v>171</v>
      </c>
      <c r="N147" s="12" t="s">
        <v>258</v>
      </c>
      <c r="O147" s="18" t="s">
        <v>922</v>
      </c>
      <c r="P147" s="197" t="s">
        <v>923</v>
      </c>
      <c r="Q147" s="120" t="s">
        <v>924</v>
      </c>
      <c r="R147" s="13" t="s">
        <v>925</v>
      </c>
      <c r="S147" s="7">
        <v>1</v>
      </c>
      <c r="T147" s="14">
        <v>400</v>
      </c>
      <c r="U147" s="15">
        <f t="shared" si="36"/>
        <v>200</v>
      </c>
      <c r="V147" s="14">
        <v>2</v>
      </c>
      <c r="W147" s="15">
        <f t="shared" si="37"/>
        <v>198</v>
      </c>
      <c r="X147" s="9" t="s">
        <v>495</v>
      </c>
      <c r="Y147" s="7" t="s">
        <v>506</v>
      </c>
      <c r="Z147" s="16">
        <v>3</v>
      </c>
      <c r="AA147" s="17">
        <f t="shared" si="38"/>
        <v>0</v>
      </c>
      <c r="AB147" s="9" t="s">
        <v>422</v>
      </c>
    </row>
    <row r="148" spans="2:29">
      <c r="B148" s="189">
        <f t="shared" si="32"/>
        <v>5</v>
      </c>
      <c r="C148" s="112" t="str">
        <f t="shared" si="33"/>
        <v>ATK</v>
      </c>
      <c r="D148" s="7" t="s">
        <v>913</v>
      </c>
      <c r="E148" s="8" t="s">
        <v>914</v>
      </c>
      <c r="F148" s="8" t="s">
        <v>914</v>
      </c>
      <c r="G148" s="113">
        <f t="shared" si="34"/>
        <v>2</v>
      </c>
      <c r="H148" s="113" t="str">
        <f t="shared" si="35"/>
        <v>완료</v>
      </c>
      <c r="I148" s="117" t="s">
        <v>412</v>
      </c>
      <c r="J148" s="9" t="s">
        <v>381</v>
      </c>
      <c r="K148" s="10" t="s">
        <v>170</v>
      </c>
      <c r="L148" s="11" t="str">
        <f t="shared" ref="L148" si="39">LEFT(K148,2)</f>
        <v>2T</v>
      </c>
      <c r="M148" s="18" t="s">
        <v>171</v>
      </c>
      <c r="N148" s="12" t="s">
        <v>258</v>
      </c>
      <c r="O148" s="18" t="s">
        <v>922</v>
      </c>
      <c r="P148" s="197" t="s">
        <v>923</v>
      </c>
      <c r="Q148" s="120" t="s">
        <v>924</v>
      </c>
      <c r="R148" s="13" t="s">
        <v>926</v>
      </c>
      <c r="S148" s="7">
        <v>1</v>
      </c>
      <c r="T148" s="14">
        <v>400</v>
      </c>
      <c r="U148" s="15">
        <f t="shared" si="36"/>
        <v>200</v>
      </c>
      <c r="V148" s="14">
        <v>2</v>
      </c>
      <c r="W148" s="15">
        <f t="shared" si="37"/>
        <v>198</v>
      </c>
      <c r="X148" s="9" t="s">
        <v>495</v>
      </c>
      <c r="Y148" s="7" t="s">
        <v>506</v>
      </c>
      <c r="Z148" s="16">
        <v>3</v>
      </c>
      <c r="AA148" s="17">
        <f t="shared" si="38"/>
        <v>0</v>
      </c>
      <c r="AB148" s="9" t="s">
        <v>422</v>
      </c>
    </row>
    <row r="149" spans="2:29">
      <c r="B149" s="189">
        <f t="shared" si="32"/>
        <v>5</v>
      </c>
      <c r="C149" s="112" t="str">
        <f t="shared" si="33"/>
        <v>ATK</v>
      </c>
      <c r="D149" s="7" t="s">
        <v>913</v>
      </c>
      <c r="E149" s="8" t="s">
        <v>914</v>
      </c>
      <c r="F149" s="8" t="s">
        <v>914</v>
      </c>
      <c r="G149" s="113">
        <f t="shared" si="34"/>
        <v>2</v>
      </c>
      <c r="H149" s="113" t="str">
        <f t="shared" si="35"/>
        <v>완료</v>
      </c>
      <c r="I149" s="117" t="s">
        <v>412</v>
      </c>
      <c r="J149" s="9" t="s">
        <v>381</v>
      </c>
      <c r="K149" s="10" t="s">
        <v>170</v>
      </c>
      <c r="L149" s="11" t="str">
        <f t="shared" si="31"/>
        <v>2T</v>
      </c>
      <c r="M149" s="18" t="s">
        <v>171</v>
      </c>
      <c r="N149" s="12" t="s">
        <v>258</v>
      </c>
      <c r="O149" s="18" t="s">
        <v>922</v>
      </c>
      <c r="P149" s="197" t="s">
        <v>923</v>
      </c>
      <c r="Q149" s="120" t="s">
        <v>924</v>
      </c>
      <c r="R149" s="13" t="s">
        <v>927</v>
      </c>
      <c r="S149" s="7">
        <v>1</v>
      </c>
      <c r="T149" s="14">
        <v>400</v>
      </c>
      <c r="U149" s="15">
        <f t="shared" si="36"/>
        <v>200</v>
      </c>
      <c r="V149" s="14">
        <v>2</v>
      </c>
      <c r="W149" s="15">
        <f t="shared" si="37"/>
        <v>198</v>
      </c>
      <c r="X149" s="9" t="s">
        <v>495</v>
      </c>
      <c r="Y149" s="7" t="s">
        <v>506</v>
      </c>
      <c r="Z149" s="16">
        <v>3</v>
      </c>
      <c r="AA149" s="17">
        <f t="shared" si="38"/>
        <v>0</v>
      </c>
      <c r="AB149" s="9" t="s">
        <v>422</v>
      </c>
    </row>
    <row r="150" spans="2:29">
      <c r="B150" s="189">
        <f t="shared" si="32"/>
        <v>5</v>
      </c>
      <c r="C150" s="112" t="str">
        <f t="shared" si="33"/>
        <v>ATK</v>
      </c>
      <c r="D150" s="7" t="s">
        <v>928</v>
      </c>
      <c r="E150" s="8" t="s">
        <v>914</v>
      </c>
      <c r="F150" s="8" t="s">
        <v>914</v>
      </c>
      <c r="G150" s="113">
        <f t="shared" si="34"/>
        <v>2</v>
      </c>
      <c r="H150" s="113" t="str">
        <f t="shared" si="35"/>
        <v>완료</v>
      </c>
      <c r="I150" s="117" t="s">
        <v>412</v>
      </c>
      <c r="J150" s="9" t="s">
        <v>381</v>
      </c>
      <c r="K150" s="10" t="s">
        <v>170</v>
      </c>
      <c r="L150" s="11" t="str">
        <f t="shared" si="31"/>
        <v>2T</v>
      </c>
      <c r="M150" s="18" t="s">
        <v>639</v>
      </c>
      <c r="N150" s="18" t="s">
        <v>929</v>
      </c>
      <c r="O150" s="18" t="s">
        <v>930</v>
      </c>
      <c r="P150" s="197" t="s">
        <v>506</v>
      </c>
      <c r="Q150" s="120" t="s">
        <v>931</v>
      </c>
      <c r="R150" s="13" t="s">
        <v>506</v>
      </c>
      <c r="S150" s="7">
        <v>1</v>
      </c>
      <c r="T150" s="14">
        <v>3500</v>
      </c>
      <c r="U150" s="15">
        <f t="shared" si="36"/>
        <v>1750</v>
      </c>
      <c r="V150" s="14">
        <v>15</v>
      </c>
      <c r="W150" s="15">
        <f t="shared" si="37"/>
        <v>1735</v>
      </c>
      <c r="X150" s="9" t="s">
        <v>495</v>
      </c>
      <c r="Y150" s="7" t="s">
        <v>506</v>
      </c>
      <c r="Z150" s="16">
        <v>2</v>
      </c>
      <c r="AA150" s="17">
        <f t="shared" si="38"/>
        <v>0</v>
      </c>
      <c r="AB150" s="9" t="s">
        <v>494</v>
      </c>
    </row>
    <row r="151" spans="2:29">
      <c r="B151" s="189">
        <f t="shared" si="32"/>
        <v>5</v>
      </c>
      <c r="C151" s="112" t="str">
        <f t="shared" si="33"/>
        <v>ATK</v>
      </c>
      <c r="D151" s="7" t="s">
        <v>404</v>
      </c>
      <c r="E151" s="8" t="s">
        <v>914</v>
      </c>
      <c r="F151" s="8" t="s">
        <v>914</v>
      </c>
      <c r="G151" s="113">
        <f t="shared" si="34"/>
        <v>2</v>
      </c>
      <c r="H151" s="113" t="str">
        <f t="shared" si="35"/>
        <v>완료</v>
      </c>
      <c r="I151" s="117" t="s">
        <v>412</v>
      </c>
      <c r="J151" s="9" t="s">
        <v>491</v>
      </c>
      <c r="K151" s="10" t="s">
        <v>279</v>
      </c>
      <c r="L151" s="11" t="str">
        <f t="shared" si="31"/>
        <v>5T</v>
      </c>
      <c r="M151" s="18" t="s">
        <v>432</v>
      </c>
      <c r="N151" s="12" t="s">
        <v>932</v>
      </c>
      <c r="O151" s="18" t="s">
        <v>933</v>
      </c>
      <c r="P151" s="197" t="s">
        <v>934</v>
      </c>
      <c r="Q151" s="120" t="s">
        <v>935</v>
      </c>
      <c r="R151" s="13" t="s">
        <v>506</v>
      </c>
      <c r="S151" s="7">
        <v>2</v>
      </c>
      <c r="T151" s="14">
        <v>900</v>
      </c>
      <c r="U151" s="15">
        <f t="shared" si="36"/>
        <v>900</v>
      </c>
      <c r="V151" s="14">
        <v>20</v>
      </c>
      <c r="W151" s="15">
        <f t="shared" si="37"/>
        <v>880</v>
      </c>
      <c r="X151" s="9" t="s">
        <v>495</v>
      </c>
      <c r="Y151" s="7" t="s">
        <v>506</v>
      </c>
      <c r="Z151" s="16">
        <v>4</v>
      </c>
      <c r="AA151" s="17">
        <f t="shared" si="38"/>
        <v>0</v>
      </c>
      <c r="AB151" s="9" t="s">
        <v>141</v>
      </c>
    </row>
    <row r="152" spans="2:29" ht="24">
      <c r="B152" s="189">
        <f t="shared" si="32"/>
        <v>5</v>
      </c>
      <c r="C152" s="112" t="str">
        <f t="shared" si="33"/>
        <v>ATK</v>
      </c>
      <c r="D152" s="7" t="s">
        <v>141</v>
      </c>
      <c r="E152" s="8" t="s">
        <v>914</v>
      </c>
      <c r="F152" s="8" t="s">
        <v>914</v>
      </c>
      <c r="G152" s="113">
        <f t="shared" si="34"/>
        <v>2</v>
      </c>
      <c r="H152" s="113" t="str">
        <f t="shared" si="35"/>
        <v>완료</v>
      </c>
      <c r="I152" s="117" t="s">
        <v>412</v>
      </c>
      <c r="J152" s="9" t="s">
        <v>392</v>
      </c>
      <c r="K152" s="9" t="s">
        <v>485</v>
      </c>
      <c r="L152" s="11" t="str">
        <f t="shared" si="31"/>
        <v>EE</v>
      </c>
      <c r="M152" s="18" t="s">
        <v>483</v>
      </c>
      <c r="N152" s="12" t="s">
        <v>936</v>
      </c>
      <c r="O152" s="18" t="s">
        <v>937</v>
      </c>
      <c r="P152" s="197" t="s">
        <v>506</v>
      </c>
      <c r="Q152" s="120" t="s">
        <v>938</v>
      </c>
      <c r="R152" s="13" t="s">
        <v>506</v>
      </c>
      <c r="S152" s="7">
        <v>1</v>
      </c>
      <c r="T152" s="14">
        <v>1200</v>
      </c>
      <c r="U152" s="15">
        <f t="shared" si="36"/>
        <v>600</v>
      </c>
      <c r="V152" s="14">
        <v>0</v>
      </c>
      <c r="W152" s="15">
        <f t="shared" si="37"/>
        <v>600</v>
      </c>
      <c r="X152" s="9" t="s">
        <v>495</v>
      </c>
      <c r="Y152" s="7" t="s">
        <v>506</v>
      </c>
      <c r="Z152" s="16">
        <v>4</v>
      </c>
      <c r="AA152" s="17">
        <f t="shared" si="38"/>
        <v>0</v>
      </c>
      <c r="AB152" s="9" t="s">
        <v>141</v>
      </c>
      <c r="AC152" s="202" t="s">
        <v>482</v>
      </c>
    </row>
    <row r="153" spans="2:29">
      <c r="B153" s="189">
        <f t="shared" si="32"/>
        <v>5</v>
      </c>
      <c r="C153" s="112" t="str">
        <f t="shared" si="33"/>
        <v>ATK</v>
      </c>
      <c r="D153" s="7" t="s">
        <v>913</v>
      </c>
      <c r="E153" s="8" t="s">
        <v>914</v>
      </c>
      <c r="F153" s="8" t="s">
        <v>893</v>
      </c>
      <c r="G153" s="113">
        <f t="shared" si="34"/>
        <v>2</v>
      </c>
      <c r="H153" s="113" t="str">
        <f t="shared" si="35"/>
        <v>완료</v>
      </c>
      <c r="I153" s="117" t="s">
        <v>412</v>
      </c>
      <c r="J153" s="9" t="s">
        <v>381</v>
      </c>
      <c r="K153" s="10" t="s">
        <v>170</v>
      </c>
      <c r="L153" s="11" t="str">
        <f t="shared" si="31"/>
        <v>2T</v>
      </c>
      <c r="M153" s="18" t="s">
        <v>763</v>
      </c>
      <c r="N153" s="12" t="s">
        <v>915</v>
      </c>
      <c r="O153" s="18" t="s">
        <v>916</v>
      </c>
      <c r="P153" s="197" t="s">
        <v>506</v>
      </c>
      <c r="Q153" s="120" t="s">
        <v>694</v>
      </c>
      <c r="R153" s="13" t="s">
        <v>506</v>
      </c>
      <c r="S153" s="7">
        <v>1</v>
      </c>
      <c r="T153" s="14">
        <v>5000</v>
      </c>
      <c r="U153" s="15">
        <f t="shared" si="36"/>
        <v>2500</v>
      </c>
      <c r="V153" s="14">
        <v>20</v>
      </c>
      <c r="W153" s="15">
        <f t="shared" si="37"/>
        <v>2480</v>
      </c>
      <c r="X153" s="9" t="s">
        <v>495</v>
      </c>
      <c r="Y153" s="7" t="s">
        <v>506</v>
      </c>
      <c r="Z153" s="16">
        <v>4</v>
      </c>
      <c r="AA153" s="17">
        <f t="shared" si="38"/>
        <v>1</v>
      </c>
      <c r="AB153" s="9" t="s">
        <v>213</v>
      </c>
    </row>
    <row r="154" spans="2:29">
      <c r="B154" s="189">
        <f t="shared" si="32"/>
        <v>7</v>
      </c>
      <c r="C154" s="112" t="str">
        <f t="shared" si="33"/>
        <v>ATK</v>
      </c>
      <c r="D154" s="7" t="s">
        <v>219</v>
      </c>
      <c r="E154" s="8" t="s">
        <v>914</v>
      </c>
      <c r="F154" s="8" t="s">
        <v>789</v>
      </c>
      <c r="G154" s="113">
        <f t="shared" si="34"/>
        <v>2</v>
      </c>
      <c r="H154" s="113" t="str">
        <f t="shared" si="35"/>
        <v>Other</v>
      </c>
      <c r="I154" s="117" t="s">
        <v>401</v>
      </c>
      <c r="J154" s="9" t="s">
        <v>338</v>
      </c>
      <c r="K154" s="10" t="s">
        <v>206</v>
      </c>
      <c r="L154" s="11" t="str">
        <f t="shared" si="31"/>
        <v>1T</v>
      </c>
      <c r="M154" s="18" t="s">
        <v>182</v>
      </c>
      <c r="N154" s="12" t="s">
        <v>297</v>
      </c>
      <c r="O154" s="18" t="s">
        <v>182</v>
      </c>
      <c r="P154" s="197" t="s">
        <v>506</v>
      </c>
      <c r="Q154" s="120" t="s">
        <v>939</v>
      </c>
      <c r="R154" s="13" t="s">
        <v>506</v>
      </c>
      <c r="S154" s="7">
        <v>1</v>
      </c>
      <c r="T154" s="14">
        <v>1500</v>
      </c>
      <c r="U154" s="15">
        <f t="shared" si="36"/>
        <v>750</v>
      </c>
      <c r="V154" s="14">
        <v>0</v>
      </c>
      <c r="W154" s="15">
        <f t="shared" si="37"/>
        <v>750</v>
      </c>
      <c r="X154" s="9" t="s">
        <v>495</v>
      </c>
      <c r="Y154" s="7" t="s">
        <v>506</v>
      </c>
      <c r="Z154" s="16">
        <v>1</v>
      </c>
      <c r="AA154" s="17">
        <f t="shared" si="38"/>
        <v>12</v>
      </c>
      <c r="AB154" s="9" t="s">
        <v>494</v>
      </c>
    </row>
    <row r="155" spans="2:29">
      <c r="B155" s="189">
        <f t="shared" si="32"/>
        <v>6</v>
      </c>
      <c r="C155" s="112" t="str">
        <f t="shared" si="33"/>
        <v>ATK</v>
      </c>
      <c r="D155" s="7" t="s">
        <v>940</v>
      </c>
      <c r="E155" s="8" t="s">
        <v>914</v>
      </c>
      <c r="F155" s="8" t="s">
        <v>812</v>
      </c>
      <c r="G155" s="113">
        <f t="shared" si="34"/>
        <v>2</v>
      </c>
      <c r="H155" s="113" t="str">
        <f t="shared" si="35"/>
        <v>완료</v>
      </c>
      <c r="I155" s="117" t="s">
        <v>412</v>
      </c>
      <c r="J155" s="9" t="s">
        <v>338</v>
      </c>
      <c r="K155" s="10" t="s">
        <v>206</v>
      </c>
      <c r="L155" s="11" t="str">
        <f t="shared" si="31"/>
        <v>1T</v>
      </c>
      <c r="M155" s="18" t="s">
        <v>182</v>
      </c>
      <c r="N155" s="12" t="s">
        <v>280</v>
      </c>
      <c r="O155" s="18" t="s">
        <v>182</v>
      </c>
      <c r="P155" s="197" t="s">
        <v>506</v>
      </c>
      <c r="Q155" s="120" t="s">
        <v>941</v>
      </c>
      <c r="R155" s="13" t="s">
        <v>506</v>
      </c>
      <c r="S155" s="7">
        <v>2</v>
      </c>
      <c r="T155" s="14">
        <v>710</v>
      </c>
      <c r="U155" s="15">
        <f t="shared" si="36"/>
        <v>710</v>
      </c>
      <c r="V155" s="14">
        <v>25</v>
      </c>
      <c r="W155" s="15">
        <f t="shared" si="37"/>
        <v>685</v>
      </c>
      <c r="X155" s="9" t="s">
        <v>495</v>
      </c>
      <c r="Y155" s="7" t="s">
        <v>506</v>
      </c>
      <c r="Z155" s="16">
        <v>1</v>
      </c>
      <c r="AA155" s="17">
        <f t="shared" si="38"/>
        <v>7</v>
      </c>
      <c r="AB155" s="9" t="s">
        <v>494</v>
      </c>
    </row>
    <row r="156" spans="2:29">
      <c r="B156" s="189">
        <f t="shared" si="32"/>
        <v>5</v>
      </c>
      <c r="C156" s="112" t="str">
        <f t="shared" si="33"/>
        <v>ATK</v>
      </c>
      <c r="D156" s="7" t="s">
        <v>942</v>
      </c>
      <c r="E156" s="8" t="s">
        <v>914</v>
      </c>
      <c r="F156" s="8" t="s">
        <v>893</v>
      </c>
      <c r="G156" s="113">
        <f t="shared" si="34"/>
        <v>2</v>
      </c>
      <c r="H156" s="113" t="str">
        <f t="shared" si="35"/>
        <v>완료</v>
      </c>
      <c r="I156" s="117" t="s">
        <v>412</v>
      </c>
      <c r="J156" s="9" t="s">
        <v>381</v>
      </c>
      <c r="K156" s="10" t="s">
        <v>435</v>
      </c>
      <c r="L156" s="11" t="str">
        <f t="shared" si="31"/>
        <v>2T</v>
      </c>
      <c r="M156" s="18" t="s">
        <v>150</v>
      </c>
      <c r="N156" s="12" t="s">
        <v>859</v>
      </c>
      <c r="O156" s="18" t="s">
        <v>943</v>
      </c>
      <c r="P156" s="197" t="s">
        <v>506</v>
      </c>
      <c r="Q156" s="120" t="s">
        <v>944</v>
      </c>
      <c r="R156" s="13" t="s">
        <v>506</v>
      </c>
      <c r="S156" s="7">
        <v>1</v>
      </c>
      <c r="T156" s="14">
        <v>10000</v>
      </c>
      <c r="U156" s="15">
        <f t="shared" si="36"/>
        <v>5000</v>
      </c>
      <c r="V156" s="14">
        <v>0</v>
      </c>
      <c r="W156" s="15">
        <f t="shared" si="37"/>
        <v>5000</v>
      </c>
      <c r="X156" s="9" t="s">
        <v>495</v>
      </c>
      <c r="Y156" s="7" t="s">
        <v>506</v>
      </c>
      <c r="Z156" s="16">
        <v>0</v>
      </c>
      <c r="AA156" s="17">
        <f t="shared" si="38"/>
        <v>1</v>
      </c>
      <c r="AB156" s="9" t="s">
        <v>213</v>
      </c>
    </row>
    <row r="157" spans="2:29" ht="24">
      <c r="B157" s="189">
        <f t="shared" si="32"/>
        <v>8</v>
      </c>
      <c r="C157" s="112" t="str">
        <f t="shared" si="33"/>
        <v>ATK</v>
      </c>
      <c r="D157" s="7" t="s">
        <v>160</v>
      </c>
      <c r="E157" s="8" t="s">
        <v>914</v>
      </c>
      <c r="F157" s="8" t="s">
        <v>647</v>
      </c>
      <c r="G157" s="113">
        <f t="shared" si="34"/>
        <v>2</v>
      </c>
      <c r="H157" s="113" t="str">
        <f t="shared" si="35"/>
        <v>완료</v>
      </c>
      <c r="I157" s="117" t="s">
        <v>412</v>
      </c>
      <c r="J157" s="9" t="s">
        <v>491</v>
      </c>
      <c r="K157" s="10" t="s">
        <v>492</v>
      </c>
      <c r="L157" s="11" t="str">
        <f t="shared" si="31"/>
        <v>5T</v>
      </c>
      <c r="M157" s="18" t="s">
        <v>432</v>
      </c>
      <c r="N157" s="12" t="s">
        <v>423</v>
      </c>
      <c r="O157" s="18" t="s">
        <v>161</v>
      </c>
      <c r="P157" s="197" t="s">
        <v>506</v>
      </c>
      <c r="Q157" s="120" t="s">
        <v>945</v>
      </c>
      <c r="R157" s="13" t="s">
        <v>506</v>
      </c>
      <c r="S157" s="7">
        <v>1</v>
      </c>
      <c r="T157" s="14">
        <v>15000</v>
      </c>
      <c r="U157" s="15">
        <f t="shared" si="36"/>
        <v>7500</v>
      </c>
      <c r="V157" s="14">
        <v>0</v>
      </c>
      <c r="W157" s="15">
        <f t="shared" si="37"/>
        <v>7500</v>
      </c>
      <c r="X157" s="9" t="s">
        <v>495</v>
      </c>
      <c r="Y157" s="7" t="s">
        <v>506</v>
      </c>
      <c r="Z157" s="16">
        <v>8</v>
      </c>
      <c r="AA157" s="17">
        <f t="shared" si="38"/>
        <v>19</v>
      </c>
      <c r="AB157" s="9" t="s">
        <v>494</v>
      </c>
    </row>
    <row r="158" spans="2:29">
      <c r="B158" s="189">
        <f t="shared" si="32"/>
        <v>7</v>
      </c>
      <c r="C158" s="112" t="str">
        <f t="shared" si="33"/>
        <v>ATK</v>
      </c>
      <c r="D158" s="7" t="s">
        <v>535</v>
      </c>
      <c r="E158" s="8" t="s">
        <v>946</v>
      </c>
      <c r="F158" s="8" t="s">
        <v>754</v>
      </c>
      <c r="G158" s="113">
        <f t="shared" si="34"/>
        <v>2</v>
      </c>
      <c r="H158" s="113" t="str">
        <f t="shared" si="35"/>
        <v>완료</v>
      </c>
      <c r="I158" s="117" t="s">
        <v>398</v>
      </c>
      <c r="J158" s="9" t="s">
        <v>352</v>
      </c>
      <c r="K158" s="10" t="s">
        <v>352</v>
      </c>
      <c r="L158" s="11" t="str">
        <f t="shared" si="31"/>
        <v>K5</v>
      </c>
      <c r="M158" s="18" t="s">
        <v>536</v>
      </c>
      <c r="N158" s="12" t="s">
        <v>537</v>
      </c>
      <c r="O158" s="18" t="s">
        <v>538</v>
      </c>
      <c r="P158" s="197" t="s">
        <v>506</v>
      </c>
      <c r="Q158" s="120" t="s">
        <v>947</v>
      </c>
      <c r="R158" s="13" t="s">
        <v>540</v>
      </c>
      <c r="S158" s="7">
        <v>1</v>
      </c>
      <c r="T158" s="14">
        <v>20000</v>
      </c>
      <c r="U158" s="15">
        <f t="shared" si="36"/>
        <v>10000</v>
      </c>
      <c r="V158" s="14">
        <v>900</v>
      </c>
      <c r="W158" s="15">
        <f t="shared" si="37"/>
        <v>9100</v>
      </c>
      <c r="X158" s="9" t="s">
        <v>236</v>
      </c>
      <c r="Y158" s="7" t="s">
        <v>237</v>
      </c>
      <c r="Z158" s="16">
        <v>0</v>
      </c>
      <c r="AA158" s="17">
        <f t="shared" si="38"/>
        <v>14</v>
      </c>
      <c r="AB158" s="9" t="s">
        <v>213</v>
      </c>
    </row>
    <row r="159" spans="2:29">
      <c r="B159" s="189">
        <f t="shared" si="32"/>
        <v>5</v>
      </c>
      <c r="C159" s="112" t="str">
        <f t="shared" si="33"/>
        <v>ATK</v>
      </c>
      <c r="D159" s="7" t="s">
        <v>380</v>
      </c>
      <c r="E159" s="8" t="s">
        <v>946</v>
      </c>
      <c r="F159" s="8" t="s">
        <v>946</v>
      </c>
      <c r="G159" s="113">
        <f t="shared" si="34"/>
        <v>2</v>
      </c>
      <c r="H159" s="113" t="str">
        <f t="shared" si="35"/>
        <v>완료</v>
      </c>
      <c r="I159" s="117" t="s">
        <v>412</v>
      </c>
      <c r="J159" s="9" t="s">
        <v>338</v>
      </c>
      <c r="K159" s="10" t="s">
        <v>143</v>
      </c>
      <c r="L159" s="11" t="str">
        <f t="shared" si="31"/>
        <v>1T</v>
      </c>
      <c r="M159" s="18" t="s">
        <v>728</v>
      </c>
      <c r="N159" s="12" t="s">
        <v>239</v>
      </c>
      <c r="O159" s="18" t="s">
        <v>729</v>
      </c>
      <c r="P159" s="197" t="s">
        <v>506</v>
      </c>
      <c r="Q159" s="120" t="s">
        <v>532</v>
      </c>
      <c r="R159" s="13" t="s">
        <v>948</v>
      </c>
      <c r="S159" s="7">
        <v>1</v>
      </c>
      <c r="T159" s="14">
        <v>3000</v>
      </c>
      <c r="U159" s="15">
        <f t="shared" si="36"/>
        <v>1500</v>
      </c>
      <c r="V159" s="14">
        <v>4</v>
      </c>
      <c r="W159" s="15">
        <f t="shared" si="37"/>
        <v>1496</v>
      </c>
      <c r="X159" s="9" t="s">
        <v>495</v>
      </c>
      <c r="Y159" s="7" t="s">
        <v>506</v>
      </c>
      <c r="Z159" s="16">
        <v>2</v>
      </c>
      <c r="AA159" s="17">
        <f t="shared" si="38"/>
        <v>0</v>
      </c>
      <c r="AB159" s="9" t="s">
        <v>213</v>
      </c>
    </row>
    <row r="160" spans="2:29">
      <c r="B160" s="189">
        <f t="shared" si="32"/>
        <v>5</v>
      </c>
      <c r="C160" s="112" t="str">
        <f t="shared" si="33"/>
        <v>ATK</v>
      </c>
      <c r="D160" s="7" t="s">
        <v>380</v>
      </c>
      <c r="E160" s="8" t="s">
        <v>946</v>
      </c>
      <c r="F160" s="8" t="s">
        <v>946</v>
      </c>
      <c r="G160" s="113">
        <f t="shared" si="34"/>
        <v>2</v>
      </c>
      <c r="H160" s="113" t="str">
        <f t="shared" si="35"/>
        <v>완료</v>
      </c>
      <c r="I160" s="117" t="s">
        <v>412</v>
      </c>
      <c r="J160" s="9" t="s">
        <v>338</v>
      </c>
      <c r="K160" s="10" t="s">
        <v>143</v>
      </c>
      <c r="L160" s="11" t="str">
        <f t="shared" si="31"/>
        <v>1T</v>
      </c>
      <c r="M160" s="18" t="s">
        <v>728</v>
      </c>
      <c r="N160" s="12" t="s">
        <v>239</v>
      </c>
      <c r="O160" s="18" t="s">
        <v>949</v>
      </c>
      <c r="P160" s="197" t="s">
        <v>506</v>
      </c>
      <c r="Q160" s="120" t="s">
        <v>950</v>
      </c>
      <c r="R160" s="13" t="s">
        <v>951</v>
      </c>
      <c r="S160" s="7">
        <v>2</v>
      </c>
      <c r="T160" s="14">
        <v>3000</v>
      </c>
      <c r="U160" s="15">
        <f t="shared" si="36"/>
        <v>3000</v>
      </c>
      <c r="V160" s="14">
        <v>5</v>
      </c>
      <c r="W160" s="15">
        <f t="shared" si="37"/>
        <v>2995</v>
      </c>
      <c r="X160" s="9" t="s">
        <v>495</v>
      </c>
      <c r="Y160" s="7" t="s">
        <v>506</v>
      </c>
      <c r="Z160" s="16">
        <v>2</v>
      </c>
      <c r="AA160" s="17">
        <f t="shared" si="38"/>
        <v>0</v>
      </c>
      <c r="AB160" s="9" t="s">
        <v>213</v>
      </c>
    </row>
    <row r="161" spans="2:28" ht="24">
      <c r="B161" s="189">
        <f t="shared" si="32"/>
        <v>5</v>
      </c>
      <c r="C161" s="112" t="str">
        <f t="shared" si="33"/>
        <v>ATK</v>
      </c>
      <c r="D161" s="7" t="s">
        <v>337</v>
      </c>
      <c r="E161" s="8" t="s">
        <v>946</v>
      </c>
      <c r="F161" s="8" t="s">
        <v>946</v>
      </c>
      <c r="G161" s="113">
        <f t="shared" si="34"/>
        <v>2</v>
      </c>
      <c r="H161" s="113" t="str">
        <f t="shared" si="35"/>
        <v>완료</v>
      </c>
      <c r="I161" s="117" t="s">
        <v>412</v>
      </c>
      <c r="J161" s="9" t="s">
        <v>392</v>
      </c>
      <c r="K161" s="10" t="s">
        <v>485</v>
      </c>
      <c r="L161" s="11" t="str">
        <f t="shared" si="31"/>
        <v>EE</v>
      </c>
      <c r="M161" s="18" t="s">
        <v>952</v>
      </c>
      <c r="N161" s="12" t="s">
        <v>953</v>
      </c>
      <c r="O161" s="18" t="s">
        <v>954</v>
      </c>
      <c r="P161" s="197" t="s">
        <v>955</v>
      </c>
      <c r="Q161" s="120" t="s">
        <v>956</v>
      </c>
      <c r="R161" s="13" t="s">
        <v>506</v>
      </c>
      <c r="S161" s="7">
        <v>1</v>
      </c>
      <c r="T161" s="14">
        <v>1000</v>
      </c>
      <c r="U161" s="15">
        <f t="shared" si="36"/>
        <v>500</v>
      </c>
      <c r="V161" s="14">
        <v>0</v>
      </c>
      <c r="W161" s="15">
        <f t="shared" si="37"/>
        <v>500</v>
      </c>
      <c r="X161" s="9" t="s">
        <v>495</v>
      </c>
      <c r="Y161" s="7" t="s">
        <v>506</v>
      </c>
      <c r="Z161" s="16">
        <v>7</v>
      </c>
      <c r="AA161" s="17">
        <f t="shared" si="38"/>
        <v>0</v>
      </c>
      <c r="AB161" s="9" t="s">
        <v>141</v>
      </c>
    </row>
    <row r="162" spans="2:28">
      <c r="B162" s="189">
        <f t="shared" si="32"/>
        <v>5</v>
      </c>
      <c r="C162" s="112" t="str">
        <f t="shared" si="33"/>
        <v>ATK</v>
      </c>
      <c r="D162" s="7" t="s">
        <v>337</v>
      </c>
      <c r="E162" s="8" t="s">
        <v>946</v>
      </c>
      <c r="F162" s="8" t="s">
        <v>946</v>
      </c>
      <c r="G162" s="113">
        <f t="shared" si="34"/>
        <v>2</v>
      </c>
      <c r="H162" s="113" t="str">
        <f t="shared" si="35"/>
        <v>완료</v>
      </c>
      <c r="I162" s="117" t="s">
        <v>412</v>
      </c>
      <c r="J162" s="9" t="s">
        <v>338</v>
      </c>
      <c r="K162" s="10" t="s">
        <v>251</v>
      </c>
      <c r="L162" s="11" t="str">
        <f t="shared" si="31"/>
        <v>1T</v>
      </c>
      <c r="M162" s="18" t="s">
        <v>957</v>
      </c>
      <c r="N162" s="12" t="s">
        <v>958</v>
      </c>
      <c r="O162" s="18" t="s">
        <v>247</v>
      </c>
      <c r="P162" s="197" t="s">
        <v>506</v>
      </c>
      <c r="Q162" s="120" t="s">
        <v>959</v>
      </c>
      <c r="R162" s="13" t="s">
        <v>506</v>
      </c>
      <c r="S162" s="7">
        <v>1</v>
      </c>
      <c r="T162" s="14">
        <v>1000</v>
      </c>
      <c r="U162" s="15">
        <f t="shared" si="36"/>
        <v>500</v>
      </c>
      <c r="V162" s="14">
        <v>10</v>
      </c>
      <c r="W162" s="15">
        <f t="shared" si="37"/>
        <v>490</v>
      </c>
      <c r="X162" s="9" t="s">
        <v>495</v>
      </c>
      <c r="Y162" s="7" t="s">
        <v>506</v>
      </c>
      <c r="Z162" s="16">
        <v>3</v>
      </c>
      <c r="AA162" s="17">
        <f t="shared" si="38"/>
        <v>0</v>
      </c>
      <c r="AB162" s="9" t="s">
        <v>376</v>
      </c>
    </row>
    <row r="163" spans="2:28" ht="60">
      <c r="B163" s="189">
        <f t="shared" si="32"/>
        <v>5</v>
      </c>
      <c r="C163" s="112" t="str">
        <f t="shared" si="33"/>
        <v>ATK</v>
      </c>
      <c r="D163" s="7" t="s">
        <v>960</v>
      </c>
      <c r="E163" s="8" t="s">
        <v>946</v>
      </c>
      <c r="F163" s="8" t="s">
        <v>946</v>
      </c>
      <c r="G163" s="113">
        <f t="shared" si="34"/>
        <v>2</v>
      </c>
      <c r="H163" s="113" t="str">
        <f t="shared" si="35"/>
        <v>완료</v>
      </c>
      <c r="I163" s="117" t="s">
        <v>412</v>
      </c>
      <c r="J163" s="9" t="s">
        <v>491</v>
      </c>
      <c r="K163" s="10" t="s">
        <v>492</v>
      </c>
      <c r="L163" s="11" t="str">
        <f t="shared" si="31"/>
        <v>5T</v>
      </c>
      <c r="M163" s="18" t="s">
        <v>701</v>
      </c>
      <c r="N163" s="12" t="s">
        <v>961</v>
      </c>
      <c r="O163" s="18" t="s">
        <v>962</v>
      </c>
      <c r="P163" s="197" t="s">
        <v>506</v>
      </c>
      <c r="Q163" s="120" t="s">
        <v>963</v>
      </c>
      <c r="R163" s="13" t="s">
        <v>964</v>
      </c>
      <c r="S163" s="7">
        <v>1</v>
      </c>
      <c r="T163" s="14">
        <v>4500</v>
      </c>
      <c r="U163" s="15">
        <f t="shared" si="36"/>
        <v>2250</v>
      </c>
      <c r="V163" s="14">
        <v>0</v>
      </c>
      <c r="W163" s="15">
        <f t="shared" si="37"/>
        <v>2250</v>
      </c>
      <c r="X163" s="9" t="s">
        <v>495</v>
      </c>
      <c r="Y163" s="7" t="s">
        <v>506</v>
      </c>
      <c r="Z163" s="16">
        <v>5</v>
      </c>
      <c r="AA163" s="17">
        <f t="shared" si="38"/>
        <v>0</v>
      </c>
      <c r="AB163" s="9" t="s">
        <v>422</v>
      </c>
    </row>
    <row r="164" spans="2:28">
      <c r="B164" s="189">
        <f t="shared" si="32"/>
        <v>5</v>
      </c>
      <c r="C164" s="112" t="str">
        <f t="shared" si="33"/>
        <v>ATK</v>
      </c>
      <c r="D164" s="7" t="s">
        <v>215</v>
      </c>
      <c r="E164" s="8" t="s">
        <v>946</v>
      </c>
      <c r="F164" s="8" t="s">
        <v>914</v>
      </c>
      <c r="G164" s="113">
        <f t="shared" si="34"/>
        <v>2</v>
      </c>
      <c r="H164" s="113" t="str">
        <f t="shared" si="35"/>
        <v>완료</v>
      </c>
      <c r="I164" s="117" t="s">
        <v>412</v>
      </c>
      <c r="J164" s="9" t="s">
        <v>381</v>
      </c>
      <c r="K164" s="10" t="s">
        <v>435</v>
      </c>
      <c r="L164" s="11" t="str">
        <f t="shared" si="31"/>
        <v>2T</v>
      </c>
      <c r="M164" s="18" t="s">
        <v>339</v>
      </c>
      <c r="N164" s="12" t="s">
        <v>965</v>
      </c>
      <c r="O164" s="18" t="s">
        <v>966</v>
      </c>
      <c r="P164" s="197" t="s">
        <v>967</v>
      </c>
      <c r="Q164" s="120" t="s">
        <v>968</v>
      </c>
      <c r="R164" s="13" t="s">
        <v>506</v>
      </c>
      <c r="S164" s="7">
        <v>1</v>
      </c>
      <c r="T164" s="14">
        <v>600</v>
      </c>
      <c r="U164" s="15">
        <f t="shared" si="36"/>
        <v>300</v>
      </c>
      <c r="V164" s="14">
        <v>10</v>
      </c>
      <c r="W164" s="15">
        <f t="shared" si="37"/>
        <v>290</v>
      </c>
      <c r="X164" s="9" t="s">
        <v>495</v>
      </c>
      <c r="Y164" s="7" t="s">
        <v>506</v>
      </c>
      <c r="Z164" s="16">
        <v>2</v>
      </c>
      <c r="AA164" s="17">
        <f t="shared" si="38"/>
        <v>1</v>
      </c>
      <c r="AB164" s="9" t="s">
        <v>494</v>
      </c>
    </row>
    <row r="165" spans="2:28">
      <c r="B165" s="189">
        <f t="shared" si="32"/>
        <v>5</v>
      </c>
      <c r="C165" s="112" t="str">
        <f t="shared" si="33"/>
        <v>ATK</v>
      </c>
      <c r="D165" s="7" t="s">
        <v>215</v>
      </c>
      <c r="E165" s="8" t="s">
        <v>946</v>
      </c>
      <c r="F165" s="8" t="s">
        <v>893</v>
      </c>
      <c r="G165" s="113">
        <f t="shared" si="34"/>
        <v>2</v>
      </c>
      <c r="H165" s="113" t="str">
        <f t="shared" si="35"/>
        <v>완료</v>
      </c>
      <c r="I165" s="117" t="s">
        <v>412</v>
      </c>
      <c r="J165" s="9" t="s">
        <v>381</v>
      </c>
      <c r="K165" s="10" t="s">
        <v>435</v>
      </c>
      <c r="L165" s="11" t="str">
        <f t="shared" si="31"/>
        <v>2T</v>
      </c>
      <c r="M165" s="18" t="s">
        <v>339</v>
      </c>
      <c r="N165" s="12" t="s">
        <v>965</v>
      </c>
      <c r="O165" s="18" t="s">
        <v>969</v>
      </c>
      <c r="P165" s="197" t="s">
        <v>970</v>
      </c>
      <c r="Q165" s="120" t="s">
        <v>971</v>
      </c>
      <c r="R165" s="13" t="s">
        <v>506</v>
      </c>
      <c r="S165" s="7">
        <v>1</v>
      </c>
      <c r="T165" s="14">
        <v>1200</v>
      </c>
      <c r="U165" s="15">
        <f t="shared" si="36"/>
        <v>600</v>
      </c>
      <c r="V165" s="14">
        <v>10</v>
      </c>
      <c r="W165" s="15">
        <f t="shared" si="37"/>
        <v>590</v>
      </c>
      <c r="X165" s="9" t="s">
        <v>495</v>
      </c>
      <c r="Y165" s="7" t="s">
        <v>506</v>
      </c>
      <c r="Z165" s="16">
        <v>3</v>
      </c>
      <c r="AA165" s="17">
        <f t="shared" si="38"/>
        <v>2</v>
      </c>
      <c r="AB165" s="9" t="s">
        <v>494</v>
      </c>
    </row>
    <row r="166" spans="2:28">
      <c r="B166" s="189">
        <f t="shared" si="32"/>
        <v>5</v>
      </c>
      <c r="C166" s="112" t="str">
        <f t="shared" si="33"/>
        <v>ATK</v>
      </c>
      <c r="D166" s="7" t="s">
        <v>215</v>
      </c>
      <c r="E166" s="8" t="s">
        <v>946</v>
      </c>
      <c r="F166" s="8" t="s">
        <v>914</v>
      </c>
      <c r="G166" s="113">
        <f t="shared" si="34"/>
        <v>2</v>
      </c>
      <c r="H166" s="113" t="str">
        <f t="shared" si="35"/>
        <v>완료</v>
      </c>
      <c r="I166" s="117" t="s">
        <v>412</v>
      </c>
      <c r="J166" s="9" t="s">
        <v>381</v>
      </c>
      <c r="K166" s="10" t="s">
        <v>435</v>
      </c>
      <c r="L166" s="11" t="str">
        <f t="shared" si="31"/>
        <v>2T</v>
      </c>
      <c r="M166" s="18" t="s">
        <v>339</v>
      </c>
      <c r="N166" s="12" t="s">
        <v>436</v>
      </c>
      <c r="O166" s="18" t="s">
        <v>203</v>
      </c>
      <c r="P166" s="197" t="s">
        <v>202</v>
      </c>
      <c r="Q166" s="120" t="s">
        <v>972</v>
      </c>
      <c r="R166" s="13" t="s">
        <v>506</v>
      </c>
      <c r="S166" s="7">
        <v>1</v>
      </c>
      <c r="T166" s="14">
        <v>1500</v>
      </c>
      <c r="U166" s="15">
        <f t="shared" si="36"/>
        <v>750</v>
      </c>
      <c r="V166" s="14">
        <v>0</v>
      </c>
      <c r="W166" s="15">
        <f t="shared" si="37"/>
        <v>750</v>
      </c>
      <c r="X166" s="9" t="s">
        <v>495</v>
      </c>
      <c r="Y166" s="7" t="s">
        <v>506</v>
      </c>
      <c r="Z166" s="16">
        <v>1</v>
      </c>
      <c r="AA166" s="17">
        <f t="shared" si="38"/>
        <v>1</v>
      </c>
      <c r="AB166" s="9" t="s">
        <v>494</v>
      </c>
    </row>
    <row r="167" spans="2:28" ht="24">
      <c r="B167" s="189">
        <f t="shared" si="32"/>
        <v>5</v>
      </c>
      <c r="C167" s="112" t="str">
        <f t="shared" si="33"/>
        <v>ATK</v>
      </c>
      <c r="D167" s="7" t="s">
        <v>230</v>
      </c>
      <c r="E167" s="8" t="s">
        <v>973</v>
      </c>
      <c r="F167" s="8" t="s">
        <v>973</v>
      </c>
      <c r="G167" s="113">
        <f t="shared" si="34"/>
        <v>2</v>
      </c>
      <c r="H167" s="113" t="str">
        <f t="shared" si="35"/>
        <v>완료</v>
      </c>
      <c r="I167" s="117" t="s">
        <v>412</v>
      </c>
      <c r="J167" s="9" t="s">
        <v>198</v>
      </c>
      <c r="K167" s="10" t="s">
        <v>186</v>
      </c>
      <c r="L167" s="11" t="str">
        <f t="shared" si="31"/>
        <v>3T</v>
      </c>
      <c r="M167" s="18" t="s">
        <v>483</v>
      </c>
      <c r="N167" s="12" t="s">
        <v>300</v>
      </c>
      <c r="O167" s="18" t="s">
        <v>974</v>
      </c>
      <c r="P167" s="197" t="s">
        <v>299</v>
      </c>
      <c r="Q167" s="120" t="s">
        <v>975</v>
      </c>
      <c r="R167" s="13" t="s">
        <v>506</v>
      </c>
      <c r="S167" s="7">
        <v>1</v>
      </c>
      <c r="T167" s="14">
        <v>20</v>
      </c>
      <c r="U167" s="15">
        <f t="shared" si="36"/>
        <v>10</v>
      </c>
      <c r="V167" s="14">
        <v>0</v>
      </c>
      <c r="W167" s="15">
        <f t="shared" si="37"/>
        <v>10</v>
      </c>
      <c r="X167" s="9" t="s">
        <v>495</v>
      </c>
      <c r="Y167" s="7" t="s">
        <v>506</v>
      </c>
      <c r="Z167" s="16">
        <v>2</v>
      </c>
      <c r="AA167" s="17">
        <f t="shared" si="38"/>
        <v>0</v>
      </c>
      <c r="AB167" s="9" t="s">
        <v>422</v>
      </c>
    </row>
    <row r="168" spans="2:28">
      <c r="B168" s="189">
        <f t="shared" si="32"/>
        <v>5</v>
      </c>
      <c r="C168" s="112" t="str">
        <f t="shared" si="33"/>
        <v>ATK</v>
      </c>
      <c r="D168" s="7" t="s">
        <v>653</v>
      </c>
      <c r="E168" s="8" t="s">
        <v>973</v>
      </c>
      <c r="F168" s="8" t="s">
        <v>973</v>
      </c>
      <c r="G168" s="113">
        <f t="shared" si="34"/>
        <v>2</v>
      </c>
      <c r="H168" s="113" t="str">
        <f t="shared" si="35"/>
        <v>완료</v>
      </c>
      <c r="I168" s="117" t="s">
        <v>412</v>
      </c>
      <c r="J168" s="9" t="s">
        <v>198</v>
      </c>
      <c r="K168" s="10" t="s">
        <v>199</v>
      </c>
      <c r="L168" s="11" t="str">
        <f t="shared" si="31"/>
        <v>3T</v>
      </c>
      <c r="M168" s="18" t="s">
        <v>371</v>
      </c>
      <c r="N168" s="12" t="s">
        <v>357</v>
      </c>
      <c r="O168" s="18" t="s">
        <v>493</v>
      </c>
      <c r="P168" s="197" t="s">
        <v>372</v>
      </c>
      <c r="Q168" s="120" t="s">
        <v>976</v>
      </c>
      <c r="R168" s="13" t="s">
        <v>498</v>
      </c>
      <c r="S168" s="7">
        <v>1</v>
      </c>
      <c r="T168" s="14">
        <v>1500</v>
      </c>
      <c r="U168" s="15">
        <f t="shared" si="36"/>
        <v>750</v>
      </c>
      <c r="V168" s="14">
        <v>0</v>
      </c>
      <c r="W168" s="15">
        <f t="shared" si="37"/>
        <v>750</v>
      </c>
      <c r="X168" s="9" t="s">
        <v>495</v>
      </c>
      <c r="Y168" s="7" t="s">
        <v>506</v>
      </c>
      <c r="Z168" s="16">
        <v>2</v>
      </c>
      <c r="AA168" s="17">
        <f t="shared" si="38"/>
        <v>0</v>
      </c>
      <c r="AB168" s="9" t="s">
        <v>494</v>
      </c>
    </row>
    <row r="169" spans="2:28" ht="60">
      <c r="B169" s="189">
        <f t="shared" si="32"/>
        <v>5</v>
      </c>
      <c r="C169" s="112" t="str">
        <f t="shared" si="33"/>
        <v>ATK</v>
      </c>
      <c r="D169" s="7" t="s">
        <v>265</v>
      </c>
      <c r="E169" s="8" t="s">
        <v>973</v>
      </c>
      <c r="F169" s="8" t="s">
        <v>973</v>
      </c>
      <c r="G169" s="113">
        <f t="shared" si="34"/>
        <v>2</v>
      </c>
      <c r="H169" s="113" t="str">
        <f t="shared" si="35"/>
        <v>완료</v>
      </c>
      <c r="I169" s="117" t="s">
        <v>412</v>
      </c>
      <c r="J169" s="9" t="s">
        <v>162</v>
      </c>
      <c r="K169" s="10" t="s">
        <v>143</v>
      </c>
      <c r="L169" s="11" t="str">
        <f t="shared" si="31"/>
        <v>1T</v>
      </c>
      <c r="M169" s="18" t="s">
        <v>190</v>
      </c>
      <c r="N169" s="12" t="s">
        <v>266</v>
      </c>
      <c r="O169" s="18" t="s">
        <v>471</v>
      </c>
      <c r="P169" s="197" t="s">
        <v>977</v>
      </c>
      <c r="Q169" s="120" t="s">
        <v>978</v>
      </c>
      <c r="R169" s="13" t="s">
        <v>506</v>
      </c>
      <c r="S169" s="7">
        <v>2</v>
      </c>
      <c r="T169" s="14">
        <v>1000</v>
      </c>
      <c r="U169" s="15">
        <f t="shared" si="36"/>
        <v>1000</v>
      </c>
      <c r="V169" s="14">
        <v>10</v>
      </c>
      <c r="W169" s="15">
        <f t="shared" si="37"/>
        <v>990</v>
      </c>
      <c r="X169" s="9" t="s">
        <v>495</v>
      </c>
      <c r="Y169" s="7" t="s">
        <v>506</v>
      </c>
      <c r="Z169" s="16">
        <v>8</v>
      </c>
      <c r="AA169" s="17">
        <f t="shared" si="38"/>
        <v>0</v>
      </c>
      <c r="AB169" s="9" t="s">
        <v>141</v>
      </c>
    </row>
    <row r="170" spans="2:28">
      <c r="B170" s="189">
        <f t="shared" si="32"/>
        <v>5</v>
      </c>
      <c r="C170" s="112" t="str">
        <f t="shared" si="33"/>
        <v>ATK</v>
      </c>
      <c r="D170" s="7" t="s">
        <v>663</v>
      </c>
      <c r="E170" s="8" t="s">
        <v>973</v>
      </c>
      <c r="F170" s="8" t="s">
        <v>973</v>
      </c>
      <c r="G170" s="113">
        <f t="shared" si="34"/>
        <v>2</v>
      </c>
      <c r="H170" s="113" t="str">
        <f t="shared" si="35"/>
        <v>완료</v>
      </c>
      <c r="I170" s="117" t="s">
        <v>412</v>
      </c>
      <c r="J170" s="9" t="s">
        <v>198</v>
      </c>
      <c r="K170" s="10" t="s">
        <v>199</v>
      </c>
      <c r="L170" s="11" t="str">
        <f t="shared" si="31"/>
        <v>3T</v>
      </c>
      <c r="M170" s="18" t="s">
        <v>171</v>
      </c>
      <c r="N170" s="12" t="s">
        <v>211</v>
      </c>
      <c r="O170" s="18" t="s">
        <v>979</v>
      </c>
      <c r="P170" s="197" t="s">
        <v>980</v>
      </c>
      <c r="Q170" s="120" t="s">
        <v>981</v>
      </c>
      <c r="R170" s="13" t="s">
        <v>506</v>
      </c>
      <c r="S170" s="7">
        <v>1</v>
      </c>
      <c r="T170" s="14">
        <v>560</v>
      </c>
      <c r="U170" s="15">
        <f t="shared" si="36"/>
        <v>280</v>
      </c>
      <c r="V170" s="14">
        <v>20</v>
      </c>
      <c r="W170" s="15">
        <f t="shared" si="37"/>
        <v>260</v>
      </c>
      <c r="X170" s="9" t="s">
        <v>495</v>
      </c>
      <c r="Y170" s="7" t="s">
        <v>506</v>
      </c>
      <c r="Z170" s="16">
        <v>2</v>
      </c>
      <c r="AA170" s="17">
        <f t="shared" si="38"/>
        <v>0</v>
      </c>
      <c r="AB170" s="9" t="s">
        <v>376</v>
      </c>
    </row>
    <row r="171" spans="2:28" ht="24">
      <c r="B171" s="189">
        <f t="shared" si="32"/>
        <v>5</v>
      </c>
      <c r="C171" s="112" t="str">
        <f t="shared" si="33"/>
        <v>ATK</v>
      </c>
      <c r="D171" s="7" t="s">
        <v>519</v>
      </c>
      <c r="E171" s="8" t="s">
        <v>973</v>
      </c>
      <c r="F171" s="8" t="s">
        <v>973</v>
      </c>
      <c r="G171" s="113">
        <f t="shared" si="34"/>
        <v>2</v>
      </c>
      <c r="H171" s="113" t="str">
        <f t="shared" si="35"/>
        <v>완료</v>
      </c>
      <c r="I171" s="117" t="s">
        <v>412</v>
      </c>
      <c r="J171" s="9" t="s">
        <v>520</v>
      </c>
      <c r="K171" s="10" t="s">
        <v>520</v>
      </c>
      <c r="L171" s="11" t="str">
        <f t="shared" si="31"/>
        <v>OT</v>
      </c>
      <c r="M171" s="18" t="s">
        <v>982</v>
      </c>
      <c r="N171" s="12" t="s">
        <v>522</v>
      </c>
      <c r="O171" s="18" t="s">
        <v>983</v>
      </c>
      <c r="P171" s="197" t="s">
        <v>506</v>
      </c>
      <c r="Q171" s="120" t="s">
        <v>984</v>
      </c>
      <c r="R171" s="13" t="s">
        <v>506</v>
      </c>
      <c r="S171" s="7">
        <v>1</v>
      </c>
      <c r="T171" s="14">
        <v>550</v>
      </c>
      <c r="U171" s="15">
        <f t="shared" si="36"/>
        <v>275</v>
      </c>
      <c r="V171" s="14">
        <v>0</v>
      </c>
      <c r="W171" s="15">
        <f t="shared" si="37"/>
        <v>275</v>
      </c>
      <c r="X171" s="9" t="s">
        <v>495</v>
      </c>
      <c r="Y171" s="7" t="s">
        <v>506</v>
      </c>
      <c r="Z171" s="16">
        <v>3</v>
      </c>
      <c r="AA171" s="17">
        <f t="shared" si="38"/>
        <v>0</v>
      </c>
      <c r="AB171" s="9" t="s">
        <v>422</v>
      </c>
    </row>
    <row r="172" spans="2:28">
      <c r="B172" s="189">
        <f t="shared" si="32"/>
        <v>6</v>
      </c>
      <c r="C172" s="112" t="str">
        <f t="shared" si="33"/>
        <v>ATK</v>
      </c>
      <c r="D172" s="7" t="s">
        <v>248</v>
      </c>
      <c r="E172" s="8" t="s">
        <v>973</v>
      </c>
      <c r="F172" s="8" t="s">
        <v>837</v>
      </c>
      <c r="G172" s="113">
        <f t="shared" si="34"/>
        <v>2</v>
      </c>
      <c r="H172" s="113" t="str">
        <f t="shared" si="35"/>
        <v>완료</v>
      </c>
      <c r="I172" s="117" t="s">
        <v>412</v>
      </c>
      <c r="J172" s="9" t="s">
        <v>381</v>
      </c>
      <c r="K172" s="10" t="s">
        <v>382</v>
      </c>
      <c r="L172" s="11" t="str">
        <f t="shared" si="31"/>
        <v>2T</v>
      </c>
      <c r="M172" s="18" t="s">
        <v>985</v>
      </c>
      <c r="N172" s="12" t="s">
        <v>986</v>
      </c>
      <c r="O172" s="18" t="s">
        <v>987</v>
      </c>
      <c r="P172" s="197" t="s">
        <v>506</v>
      </c>
      <c r="Q172" s="120" t="s">
        <v>988</v>
      </c>
      <c r="R172" s="13" t="s">
        <v>506</v>
      </c>
      <c r="S172" s="7">
        <v>1</v>
      </c>
      <c r="T172" s="14">
        <v>2000</v>
      </c>
      <c r="U172" s="15">
        <f t="shared" si="36"/>
        <v>1000</v>
      </c>
      <c r="V172" s="14">
        <v>5</v>
      </c>
      <c r="W172" s="15">
        <f t="shared" si="37"/>
        <v>995</v>
      </c>
      <c r="X172" s="9" t="s">
        <v>495</v>
      </c>
      <c r="Y172" s="7" t="s">
        <v>506</v>
      </c>
      <c r="Z172" s="16">
        <v>4</v>
      </c>
      <c r="AA172" s="17">
        <f t="shared" si="38"/>
        <v>8</v>
      </c>
      <c r="AB172" s="9" t="s">
        <v>494</v>
      </c>
    </row>
    <row r="173" spans="2:28" ht="36">
      <c r="B173" s="189">
        <f t="shared" si="32"/>
        <v>5</v>
      </c>
      <c r="C173" s="112" t="str">
        <f t="shared" si="33"/>
        <v>ATK</v>
      </c>
      <c r="D173" s="7" t="s">
        <v>273</v>
      </c>
      <c r="E173" s="8" t="s">
        <v>973</v>
      </c>
      <c r="F173" s="8" t="s">
        <v>946</v>
      </c>
      <c r="G173" s="113">
        <f t="shared" si="34"/>
        <v>2</v>
      </c>
      <c r="H173" s="113" t="str">
        <f t="shared" si="35"/>
        <v>완료</v>
      </c>
      <c r="I173" s="117" t="s">
        <v>412</v>
      </c>
      <c r="J173" s="9" t="s">
        <v>198</v>
      </c>
      <c r="K173" s="10" t="s">
        <v>199</v>
      </c>
      <c r="L173" s="11" t="str">
        <f t="shared" si="31"/>
        <v>3T</v>
      </c>
      <c r="M173" s="18" t="s">
        <v>989</v>
      </c>
      <c r="N173" s="12" t="s">
        <v>506</v>
      </c>
      <c r="O173" s="18" t="s">
        <v>717</v>
      </c>
      <c r="P173" s="197" t="s">
        <v>990</v>
      </c>
      <c r="Q173" s="120" t="s">
        <v>991</v>
      </c>
      <c r="R173" s="13" t="s">
        <v>992</v>
      </c>
      <c r="S173" s="7">
        <v>1</v>
      </c>
      <c r="T173" s="14">
        <v>4000</v>
      </c>
      <c r="U173" s="15">
        <f t="shared" si="36"/>
        <v>2000</v>
      </c>
      <c r="V173" s="14">
        <v>2</v>
      </c>
      <c r="W173" s="15">
        <f t="shared" si="37"/>
        <v>1998</v>
      </c>
      <c r="X173" s="9" t="s">
        <v>495</v>
      </c>
      <c r="Y173" s="7" t="s">
        <v>506</v>
      </c>
      <c r="Z173" s="16">
        <v>3</v>
      </c>
      <c r="AA173" s="17">
        <f t="shared" si="38"/>
        <v>1</v>
      </c>
      <c r="AB173" s="9" t="s">
        <v>422</v>
      </c>
    </row>
    <row r="174" spans="2:28">
      <c r="B174" s="189">
        <f t="shared" si="32"/>
        <v>6</v>
      </c>
      <c r="C174" s="112" t="str">
        <f t="shared" si="33"/>
        <v>ATK</v>
      </c>
      <c r="D174" s="7" t="s">
        <v>415</v>
      </c>
      <c r="E174" s="8" t="s">
        <v>973</v>
      </c>
      <c r="F174" s="8" t="s">
        <v>853</v>
      </c>
      <c r="G174" s="113">
        <f t="shared" si="34"/>
        <v>2</v>
      </c>
      <c r="H174" s="113" t="str">
        <f t="shared" si="35"/>
        <v>완료</v>
      </c>
      <c r="I174" s="117" t="s">
        <v>412</v>
      </c>
      <c r="J174" s="9" t="s">
        <v>491</v>
      </c>
      <c r="K174" s="10" t="s">
        <v>492</v>
      </c>
      <c r="L174" s="11" t="str">
        <f t="shared" si="31"/>
        <v>5T</v>
      </c>
      <c r="M174" s="18" t="s">
        <v>432</v>
      </c>
      <c r="N174" s="12" t="s">
        <v>423</v>
      </c>
      <c r="O174" s="18" t="s">
        <v>427</v>
      </c>
      <c r="P174" s="197" t="s">
        <v>440</v>
      </c>
      <c r="Q174" s="120" t="s">
        <v>993</v>
      </c>
      <c r="R174" s="13" t="s">
        <v>506</v>
      </c>
      <c r="S174" s="7">
        <v>1</v>
      </c>
      <c r="T174" s="14">
        <v>500</v>
      </c>
      <c r="U174" s="15">
        <f t="shared" si="36"/>
        <v>250</v>
      </c>
      <c r="V174" s="14">
        <v>0</v>
      </c>
      <c r="W174" s="15">
        <f t="shared" si="37"/>
        <v>250</v>
      </c>
      <c r="X174" s="9" t="s">
        <v>495</v>
      </c>
      <c r="Y174" s="7" t="s">
        <v>506</v>
      </c>
      <c r="Z174" s="16">
        <v>4</v>
      </c>
      <c r="AA174" s="17">
        <f t="shared" si="38"/>
        <v>7</v>
      </c>
      <c r="AB174" s="9" t="s">
        <v>376</v>
      </c>
    </row>
    <row r="175" spans="2:28">
      <c r="B175" s="189">
        <f t="shared" si="32"/>
        <v>7</v>
      </c>
      <c r="C175" s="112" t="str">
        <f t="shared" si="33"/>
        <v>ATK</v>
      </c>
      <c r="D175" s="7" t="s">
        <v>994</v>
      </c>
      <c r="E175" s="8" t="s">
        <v>973</v>
      </c>
      <c r="F175" s="8" t="s">
        <v>706</v>
      </c>
      <c r="G175" s="113">
        <f t="shared" si="34"/>
        <v>2</v>
      </c>
      <c r="H175" s="113" t="str">
        <f t="shared" si="35"/>
        <v>완료</v>
      </c>
      <c r="I175" s="117" t="s">
        <v>412</v>
      </c>
      <c r="J175" s="9" t="s">
        <v>408</v>
      </c>
      <c r="K175" s="10" t="s">
        <v>347</v>
      </c>
      <c r="L175" s="11" t="str">
        <f t="shared" si="31"/>
        <v>1T</v>
      </c>
      <c r="M175" s="18" t="s">
        <v>423</v>
      </c>
      <c r="N175" s="12" t="s">
        <v>211</v>
      </c>
      <c r="O175" s="18" t="s">
        <v>290</v>
      </c>
      <c r="P175" s="197" t="s">
        <v>506</v>
      </c>
      <c r="Q175" s="120" t="s">
        <v>995</v>
      </c>
      <c r="R175" s="13" t="s">
        <v>506</v>
      </c>
      <c r="S175" s="7">
        <v>1</v>
      </c>
      <c r="T175" s="14">
        <v>1000</v>
      </c>
      <c r="U175" s="15">
        <f t="shared" si="36"/>
        <v>500</v>
      </c>
      <c r="V175" s="14">
        <v>100</v>
      </c>
      <c r="W175" s="15">
        <f t="shared" si="37"/>
        <v>400</v>
      </c>
      <c r="X175" s="9" t="s">
        <v>495</v>
      </c>
      <c r="Y175" s="7" t="s">
        <v>506</v>
      </c>
      <c r="Z175" s="16">
        <v>2</v>
      </c>
      <c r="AA175" s="17">
        <f t="shared" si="38"/>
        <v>17</v>
      </c>
      <c r="AB175" s="9" t="s">
        <v>376</v>
      </c>
    </row>
    <row r="176" spans="2:28">
      <c r="B176" s="189">
        <f t="shared" si="32"/>
        <v>8</v>
      </c>
      <c r="C176" s="112" t="str">
        <f t="shared" si="33"/>
        <v>ATK</v>
      </c>
      <c r="D176" s="7" t="s">
        <v>404</v>
      </c>
      <c r="E176" s="8" t="s">
        <v>973</v>
      </c>
      <c r="F176" s="8" t="s">
        <v>599</v>
      </c>
      <c r="G176" s="113">
        <f t="shared" si="34"/>
        <v>2</v>
      </c>
      <c r="H176" s="113" t="str">
        <f t="shared" si="35"/>
        <v>수리중</v>
      </c>
      <c r="I176" s="117" t="s">
        <v>490</v>
      </c>
      <c r="J176" s="9" t="s">
        <v>491</v>
      </c>
      <c r="K176" s="10" t="s">
        <v>279</v>
      </c>
      <c r="L176" s="11" t="str">
        <f t="shared" si="31"/>
        <v>5T</v>
      </c>
      <c r="M176" s="18" t="s">
        <v>243</v>
      </c>
      <c r="N176" s="12" t="s">
        <v>996</v>
      </c>
      <c r="O176" s="18" t="s">
        <v>997</v>
      </c>
      <c r="P176" s="197" t="s">
        <v>245</v>
      </c>
      <c r="Q176" s="120" t="s">
        <v>998</v>
      </c>
      <c r="R176" s="13" t="s">
        <v>506</v>
      </c>
      <c r="S176" s="7">
        <v>1</v>
      </c>
      <c r="T176" s="14">
        <v>0</v>
      </c>
      <c r="U176" s="15">
        <f t="shared" si="36"/>
        <v>0</v>
      </c>
      <c r="V176" s="14">
        <v>0</v>
      </c>
      <c r="W176" s="15">
        <f t="shared" si="37"/>
        <v>0</v>
      </c>
      <c r="X176" s="9" t="s">
        <v>495</v>
      </c>
      <c r="Y176" s="7" t="s">
        <v>506</v>
      </c>
      <c r="Z176" s="16">
        <v>2</v>
      </c>
      <c r="AA176" s="17">
        <f t="shared" si="38"/>
        <v>23</v>
      </c>
      <c r="AB176" s="9" t="s">
        <v>422</v>
      </c>
    </row>
    <row r="177" spans="2:28" ht="48">
      <c r="B177" s="189">
        <f t="shared" si="32"/>
        <v>8</v>
      </c>
      <c r="C177" s="112" t="str">
        <f t="shared" si="33"/>
        <v>ATK</v>
      </c>
      <c r="D177" s="7" t="s">
        <v>404</v>
      </c>
      <c r="E177" s="8" t="s">
        <v>973</v>
      </c>
      <c r="F177" s="8" t="s">
        <v>579</v>
      </c>
      <c r="G177" s="113">
        <f t="shared" si="34"/>
        <v>2</v>
      </c>
      <c r="H177" s="113" t="str">
        <f t="shared" si="35"/>
        <v>수리중</v>
      </c>
      <c r="I177" s="117" t="s">
        <v>490</v>
      </c>
      <c r="J177" s="9" t="s">
        <v>491</v>
      </c>
      <c r="K177" s="10" t="s">
        <v>279</v>
      </c>
      <c r="L177" s="11" t="str">
        <f t="shared" si="31"/>
        <v>5T</v>
      </c>
      <c r="M177" s="18" t="s">
        <v>243</v>
      </c>
      <c r="N177" s="12" t="s">
        <v>996</v>
      </c>
      <c r="O177" s="18" t="s">
        <v>997</v>
      </c>
      <c r="P177" s="197" t="s">
        <v>245</v>
      </c>
      <c r="Q177" s="120" t="s">
        <v>999</v>
      </c>
      <c r="R177" s="13" t="s">
        <v>506</v>
      </c>
      <c r="S177" s="7">
        <v>1</v>
      </c>
      <c r="T177" s="14">
        <v>0</v>
      </c>
      <c r="U177" s="15">
        <f t="shared" si="36"/>
        <v>0</v>
      </c>
      <c r="V177" s="14">
        <v>0</v>
      </c>
      <c r="W177" s="15">
        <f t="shared" si="37"/>
        <v>0</v>
      </c>
      <c r="X177" s="9" t="s">
        <v>495</v>
      </c>
      <c r="Y177" s="7" t="s">
        <v>506</v>
      </c>
      <c r="Z177" s="16">
        <v>2</v>
      </c>
      <c r="AA177" s="17">
        <f t="shared" si="38"/>
        <v>24</v>
      </c>
      <c r="AB177" s="9" t="s">
        <v>422</v>
      </c>
    </row>
    <row r="178" spans="2:28">
      <c r="B178" s="189">
        <f t="shared" si="32"/>
        <v>4</v>
      </c>
      <c r="C178" s="112" t="str">
        <f t="shared" si="33"/>
        <v>ATK</v>
      </c>
      <c r="D178" s="7" t="s">
        <v>165</v>
      </c>
      <c r="E178" s="8" t="s">
        <v>1000</v>
      </c>
      <c r="F178" s="8" t="s">
        <v>1000</v>
      </c>
      <c r="G178" s="113">
        <f t="shared" si="34"/>
        <v>1</v>
      </c>
      <c r="H178" s="113" t="str">
        <f t="shared" si="35"/>
        <v>Other</v>
      </c>
      <c r="I178" s="117" t="s">
        <v>401</v>
      </c>
      <c r="J178" s="9" t="s">
        <v>381</v>
      </c>
      <c r="K178" s="10" t="s">
        <v>170</v>
      </c>
      <c r="L178" s="11" t="str">
        <f t="shared" si="31"/>
        <v>2T</v>
      </c>
      <c r="M178" s="18" t="s">
        <v>182</v>
      </c>
      <c r="N178" s="12" t="s">
        <v>611</v>
      </c>
      <c r="O178" s="18" t="s">
        <v>182</v>
      </c>
      <c r="P178" s="197" t="s">
        <v>506</v>
      </c>
      <c r="Q178" s="120" t="s">
        <v>1001</v>
      </c>
      <c r="R178" s="13" t="s">
        <v>506</v>
      </c>
      <c r="S178" s="7">
        <v>1</v>
      </c>
      <c r="T178" s="14">
        <v>1500</v>
      </c>
      <c r="U178" s="15">
        <f t="shared" si="36"/>
        <v>750</v>
      </c>
      <c r="V178" s="14">
        <v>0</v>
      </c>
      <c r="W178" s="15">
        <f t="shared" si="37"/>
        <v>750</v>
      </c>
      <c r="X178" s="9" t="s">
        <v>495</v>
      </c>
      <c r="Y178" s="7" t="s">
        <v>506</v>
      </c>
      <c r="Z178" s="16">
        <v>1</v>
      </c>
      <c r="AA178" s="17">
        <f t="shared" si="38"/>
        <v>0</v>
      </c>
      <c r="AB178" s="9" t="s">
        <v>494</v>
      </c>
    </row>
    <row r="179" spans="2:28" ht="24">
      <c r="B179" s="189">
        <f t="shared" si="32"/>
        <v>4</v>
      </c>
      <c r="C179" s="112" t="str">
        <f t="shared" si="33"/>
        <v>ATK</v>
      </c>
      <c r="D179" s="7" t="s">
        <v>307</v>
      </c>
      <c r="E179" s="8" t="s">
        <v>1000</v>
      </c>
      <c r="F179" s="8" t="s">
        <v>1000</v>
      </c>
      <c r="G179" s="113">
        <f t="shared" si="34"/>
        <v>1</v>
      </c>
      <c r="H179" s="113" t="str">
        <f t="shared" si="35"/>
        <v>완료</v>
      </c>
      <c r="I179" s="117" t="s">
        <v>412</v>
      </c>
      <c r="J179" s="9" t="s">
        <v>198</v>
      </c>
      <c r="K179" s="10" t="s">
        <v>186</v>
      </c>
      <c r="L179" s="11" t="str">
        <f t="shared" si="31"/>
        <v>3T</v>
      </c>
      <c r="M179" s="18" t="s">
        <v>309</v>
      </c>
      <c r="N179" s="12" t="s">
        <v>1002</v>
      </c>
      <c r="O179" s="18" t="s">
        <v>917</v>
      </c>
      <c r="P179" s="197" t="s">
        <v>1003</v>
      </c>
      <c r="Q179" s="120" t="s">
        <v>1004</v>
      </c>
      <c r="R179" s="13" t="s">
        <v>1005</v>
      </c>
      <c r="S179" s="7">
        <v>1</v>
      </c>
      <c r="T179" s="14">
        <v>12</v>
      </c>
      <c r="U179" s="15">
        <f t="shared" si="36"/>
        <v>6</v>
      </c>
      <c r="V179" s="14">
        <v>0</v>
      </c>
      <c r="W179" s="15">
        <f t="shared" si="37"/>
        <v>6</v>
      </c>
      <c r="X179" s="9" t="s">
        <v>495</v>
      </c>
      <c r="Y179" s="7" t="s">
        <v>506</v>
      </c>
      <c r="Z179" s="16">
        <v>3</v>
      </c>
      <c r="AA179" s="17">
        <f t="shared" si="38"/>
        <v>0</v>
      </c>
      <c r="AB179" s="9" t="s">
        <v>422</v>
      </c>
    </row>
    <row r="180" spans="2:28">
      <c r="B180" s="189">
        <f t="shared" si="32"/>
        <v>4</v>
      </c>
      <c r="C180" s="112" t="str">
        <f t="shared" si="33"/>
        <v>ATK</v>
      </c>
      <c r="D180" s="7" t="s">
        <v>219</v>
      </c>
      <c r="E180" s="8" t="s">
        <v>1000</v>
      </c>
      <c r="F180" s="8" t="s">
        <v>1000</v>
      </c>
      <c r="G180" s="113">
        <f t="shared" si="34"/>
        <v>1</v>
      </c>
      <c r="H180" s="113" t="str">
        <f t="shared" si="35"/>
        <v>완료</v>
      </c>
      <c r="I180" s="117" t="s">
        <v>412</v>
      </c>
      <c r="J180" s="9" t="s">
        <v>491</v>
      </c>
      <c r="K180" s="10" t="s">
        <v>279</v>
      </c>
      <c r="L180" s="11" t="str">
        <f t="shared" si="31"/>
        <v>5T</v>
      </c>
      <c r="M180" s="18" t="s">
        <v>207</v>
      </c>
      <c r="N180" s="12" t="s">
        <v>506</v>
      </c>
      <c r="O180" s="18" t="s">
        <v>208</v>
      </c>
      <c r="P180" s="197" t="s">
        <v>208</v>
      </c>
      <c r="Q180" s="120" t="s">
        <v>1006</v>
      </c>
      <c r="R180" s="13" t="s">
        <v>506</v>
      </c>
      <c r="S180" s="7">
        <v>1</v>
      </c>
      <c r="T180" s="14">
        <v>110</v>
      </c>
      <c r="U180" s="15">
        <f t="shared" si="36"/>
        <v>55</v>
      </c>
      <c r="V180" s="14">
        <v>1</v>
      </c>
      <c r="W180" s="15">
        <f t="shared" si="37"/>
        <v>54</v>
      </c>
      <c r="X180" s="9" t="s">
        <v>495</v>
      </c>
      <c r="Y180" s="7" t="s">
        <v>506</v>
      </c>
      <c r="Z180" s="16">
        <v>3</v>
      </c>
      <c r="AA180" s="17">
        <f t="shared" si="38"/>
        <v>0</v>
      </c>
      <c r="AB180" s="9" t="s">
        <v>422</v>
      </c>
    </row>
    <row r="181" spans="2:28" ht="24">
      <c r="B181" s="189">
        <f t="shared" si="32"/>
        <v>4</v>
      </c>
      <c r="C181" s="112" t="str">
        <f t="shared" si="33"/>
        <v>ATK</v>
      </c>
      <c r="D181" s="7" t="s">
        <v>711</v>
      </c>
      <c r="E181" s="8" t="s">
        <v>1000</v>
      </c>
      <c r="F181" s="8" t="s">
        <v>1000</v>
      </c>
      <c r="G181" s="113">
        <f t="shared" si="34"/>
        <v>1</v>
      </c>
      <c r="H181" s="113" t="str">
        <f t="shared" si="35"/>
        <v>완료</v>
      </c>
      <c r="I181" s="117" t="s">
        <v>412</v>
      </c>
      <c r="J181" s="9" t="s">
        <v>392</v>
      </c>
      <c r="K181" s="10" t="s">
        <v>485</v>
      </c>
      <c r="L181" s="11" t="str">
        <f t="shared" si="31"/>
        <v>EE</v>
      </c>
      <c r="M181" s="18" t="s">
        <v>712</v>
      </c>
      <c r="N181" s="12" t="s">
        <v>1007</v>
      </c>
      <c r="O181" s="18" t="s">
        <v>717</v>
      </c>
      <c r="P181" s="197" t="s">
        <v>506</v>
      </c>
      <c r="Q181" s="120" t="s">
        <v>1008</v>
      </c>
      <c r="R181" s="13" t="s">
        <v>1009</v>
      </c>
      <c r="S181" s="7">
        <v>2</v>
      </c>
      <c r="T181" s="14">
        <v>660</v>
      </c>
      <c r="U181" s="15">
        <f t="shared" si="36"/>
        <v>660</v>
      </c>
      <c r="V181" s="14">
        <v>0</v>
      </c>
      <c r="W181" s="15">
        <f t="shared" si="37"/>
        <v>660</v>
      </c>
      <c r="X181" s="9" t="s">
        <v>495</v>
      </c>
      <c r="Y181" s="7" t="s">
        <v>506</v>
      </c>
      <c r="Z181" s="16">
        <v>1</v>
      </c>
      <c r="AA181" s="17">
        <f t="shared" si="38"/>
        <v>0</v>
      </c>
      <c r="AB181" s="9" t="s">
        <v>494</v>
      </c>
    </row>
    <row r="182" spans="2:28" ht="24">
      <c r="B182" s="189">
        <f t="shared" si="32"/>
        <v>5</v>
      </c>
      <c r="C182" s="112" t="str">
        <f t="shared" si="33"/>
        <v>ATK</v>
      </c>
      <c r="D182" s="7" t="s">
        <v>496</v>
      </c>
      <c r="E182" s="8" t="s">
        <v>1000</v>
      </c>
      <c r="F182" s="8" t="s">
        <v>973</v>
      </c>
      <c r="G182" s="113">
        <f t="shared" si="34"/>
        <v>2</v>
      </c>
      <c r="H182" s="113" t="str">
        <f t="shared" si="35"/>
        <v>완료</v>
      </c>
      <c r="I182" s="117" t="s">
        <v>412</v>
      </c>
      <c r="J182" s="9" t="s">
        <v>491</v>
      </c>
      <c r="K182" s="10" t="s">
        <v>492</v>
      </c>
      <c r="L182" s="11" t="str">
        <f t="shared" si="31"/>
        <v>5T</v>
      </c>
      <c r="M182" s="18" t="s">
        <v>432</v>
      </c>
      <c r="N182" s="12" t="s">
        <v>1010</v>
      </c>
      <c r="O182" s="18" t="s">
        <v>1011</v>
      </c>
      <c r="P182" s="197" t="s">
        <v>434</v>
      </c>
      <c r="Q182" s="120" t="s">
        <v>1012</v>
      </c>
      <c r="R182" s="13" t="s">
        <v>506</v>
      </c>
      <c r="S182" s="7">
        <v>1</v>
      </c>
      <c r="T182" s="14">
        <v>12000</v>
      </c>
      <c r="U182" s="15">
        <f t="shared" si="36"/>
        <v>6000</v>
      </c>
      <c r="V182" s="14">
        <v>0</v>
      </c>
      <c r="W182" s="15">
        <f t="shared" si="37"/>
        <v>6000</v>
      </c>
      <c r="X182" s="9" t="s">
        <v>495</v>
      </c>
      <c r="Y182" s="7" t="s">
        <v>506</v>
      </c>
      <c r="Z182" s="16">
        <v>10</v>
      </c>
      <c r="AA182" s="17">
        <f t="shared" si="38"/>
        <v>3</v>
      </c>
      <c r="AB182" s="9" t="s">
        <v>376</v>
      </c>
    </row>
    <row r="183" spans="2:28">
      <c r="B183" s="189">
        <f t="shared" si="32"/>
        <v>4</v>
      </c>
      <c r="C183" s="112" t="str">
        <f t="shared" si="33"/>
        <v>ATK</v>
      </c>
      <c r="D183" s="7" t="s">
        <v>324</v>
      </c>
      <c r="E183" s="8" t="s">
        <v>1000</v>
      </c>
      <c r="F183" s="8" t="s">
        <v>1000</v>
      </c>
      <c r="G183" s="113">
        <f t="shared" si="34"/>
        <v>1</v>
      </c>
      <c r="H183" s="113" t="str">
        <f t="shared" si="35"/>
        <v>완료</v>
      </c>
      <c r="I183" s="117" t="s">
        <v>412</v>
      </c>
      <c r="J183" s="9" t="s">
        <v>198</v>
      </c>
      <c r="K183" s="10" t="s">
        <v>199</v>
      </c>
      <c r="L183" s="11" t="str">
        <f t="shared" si="31"/>
        <v>3T</v>
      </c>
      <c r="M183" s="18" t="s">
        <v>173</v>
      </c>
      <c r="N183" s="12" t="s">
        <v>822</v>
      </c>
      <c r="O183" s="18" t="s">
        <v>531</v>
      </c>
      <c r="P183" s="197" t="s">
        <v>823</v>
      </c>
      <c r="Q183" s="120" t="s">
        <v>1013</v>
      </c>
      <c r="R183" s="13" t="s">
        <v>506</v>
      </c>
      <c r="S183" s="7">
        <v>3</v>
      </c>
      <c r="T183" s="14">
        <v>600</v>
      </c>
      <c r="U183" s="15">
        <f t="shared" si="36"/>
        <v>900</v>
      </c>
      <c r="V183" s="14">
        <v>12</v>
      </c>
      <c r="W183" s="15">
        <f t="shared" si="37"/>
        <v>888</v>
      </c>
      <c r="X183" s="9" t="s">
        <v>495</v>
      </c>
      <c r="Y183" s="7" t="s">
        <v>506</v>
      </c>
      <c r="Z183" s="16">
        <v>1</v>
      </c>
      <c r="AA183" s="17">
        <f t="shared" si="38"/>
        <v>0</v>
      </c>
      <c r="AB183" s="9" t="s">
        <v>213</v>
      </c>
    </row>
    <row r="184" spans="2:28" ht="24">
      <c r="B184" s="189">
        <f t="shared" si="32"/>
        <v>4</v>
      </c>
      <c r="C184" s="112" t="str">
        <f t="shared" si="33"/>
        <v>ATK</v>
      </c>
      <c r="D184" s="7" t="s">
        <v>337</v>
      </c>
      <c r="E184" s="8" t="s">
        <v>1000</v>
      </c>
      <c r="F184" s="8" t="s">
        <v>1000</v>
      </c>
      <c r="G184" s="113">
        <f t="shared" si="34"/>
        <v>1</v>
      </c>
      <c r="H184" s="113" t="str">
        <f t="shared" si="35"/>
        <v>완료</v>
      </c>
      <c r="I184" s="117" t="s">
        <v>412</v>
      </c>
      <c r="J184" s="9" t="s">
        <v>338</v>
      </c>
      <c r="K184" s="10" t="s">
        <v>251</v>
      </c>
      <c r="L184" s="11" t="str">
        <f t="shared" si="31"/>
        <v>1T</v>
      </c>
      <c r="M184" s="18" t="s">
        <v>952</v>
      </c>
      <c r="N184" s="12" t="s">
        <v>953</v>
      </c>
      <c r="O184" s="18" t="s">
        <v>954</v>
      </c>
      <c r="P184" s="197" t="s">
        <v>955</v>
      </c>
      <c r="Q184" s="120" t="s">
        <v>1014</v>
      </c>
      <c r="R184" s="13" t="s">
        <v>1015</v>
      </c>
      <c r="S184" s="7">
        <v>1</v>
      </c>
      <c r="T184" s="14">
        <v>1000</v>
      </c>
      <c r="U184" s="15">
        <f t="shared" si="36"/>
        <v>500</v>
      </c>
      <c r="V184" s="14">
        <v>0</v>
      </c>
      <c r="W184" s="15">
        <f t="shared" si="37"/>
        <v>500</v>
      </c>
      <c r="X184" s="9" t="s">
        <v>495</v>
      </c>
      <c r="Y184" s="7" t="s">
        <v>506</v>
      </c>
      <c r="Z184" s="16">
        <v>7</v>
      </c>
      <c r="AA184" s="17">
        <f t="shared" si="38"/>
        <v>0</v>
      </c>
      <c r="AB184" s="9" t="s">
        <v>141</v>
      </c>
    </row>
    <row r="185" spans="2:28">
      <c r="B185" s="189">
        <f t="shared" si="32"/>
        <v>6</v>
      </c>
      <c r="C185" s="112" t="str">
        <f t="shared" si="33"/>
        <v>ATK</v>
      </c>
      <c r="D185" s="7" t="s">
        <v>210</v>
      </c>
      <c r="E185" s="8" t="s">
        <v>1000</v>
      </c>
      <c r="F185" s="8" t="s">
        <v>837</v>
      </c>
      <c r="G185" s="113">
        <f t="shared" si="34"/>
        <v>2</v>
      </c>
      <c r="H185" s="113" t="str">
        <f t="shared" si="35"/>
        <v>완료</v>
      </c>
      <c r="I185" s="117" t="s">
        <v>412</v>
      </c>
      <c r="J185" s="9" t="s">
        <v>198</v>
      </c>
      <c r="K185" s="10" t="s">
        <v>145</v>
      </c>
      <c r="L185" s="11" t="str">
        <f t="shared" si="31"/>
        <v>3T</v>
      </c>
      <c r="M185" s="18" t="s">
        <v>192</v>
      </c>
      <c r="N185" s="12" t="s">
        <v>193</v>
      </c>
      <c r="O185" s="18" t="s">
        <v>147</v>
      </c>
      <c r="P185" s="197" t="s">
        <v>146</v>
      </c>
      <c r="Q185" s="120" t="s">
        <v>1016</v>
      </c>
      <c r="R185" s="13" t="s">
        <v>506</v>
      </c>
      <c r="S185" s="7">
        <v>1</v>
      </c>
      <c r="T185" s="14">
        <v>5000</v>
      </c>
      <c r="U185" s="15">
        <f t="shared" si="36"/>
        <v>2500</v>
      </c>
      <c r="V185" s="14">
        <v>30</v>
      </c>
      <c r="W185" s="15">
        <f t="shared" si="37"/>
        <v>2470</v>
      </c>
      <c r="X185" s="9" t="s">
        <v>495</v>
      </c>
      <c r="Y185" s="7" t="s">
        <v>506</v>
      </c>
      <c r="Z185" s="16">
        <v>0</v>
      </c>
      <c r="AA185" s="17">
        <f t="shared" si="38"/>
        <v>11</v>
      </c>
      <c r="AB185" s="9" t="s">
        <v>213</v>
      </c>
    </row>
    <row r="186" spans="2:28">
      <c r="B186" s="189">
        <f t="shared" si="32"/>
        <v>5</v>
      </c>
      <c r="C186" s="112" t="str">
        <f t="shared" si="33"/>
        <v>ATK</v>
      </c>
      <c r="D186" s="7" t="s">
        <v>496</v>
      </c>
      <c r="E186" s="8" t="s">
        <v>1000</v>
      </c>
      <c r="F186" s="8" t="s">
        <v>973</v>
      </c>
      <c r="G186" s="113">
        <f t="shared" si="34"/>
        <v>2</v>
      </c>
      <c r="H186" s="113" t="str">
        <f t="shared" si="35"/>
        <v>완료</v>
      </c>
      <c r="I186" s="117" t="s">
        <v>412</v>
      </c>
      <c r="J186" s="9" t="s">
        <v>491</v>
      </c>
      <c r="K186" s="10" t="s">
        <v>492</v>
      </c>
      <c r="L186" s="11" t="str">
        <f t="shared" si="31"/>
        <v>5T</v>
      </c>
      <c r="M186" s="18" t="s">
        <v>371</v>
      </c>
      <c r="N186" s="12" t="s">
        <v>357</v>
      </c>
      <c r="O186" s="18" t="s">
        <v>493</v>
      </c>
      <c r="P186" s="197" t="s">
        <v>372</v>
      </c>
      <c r="Q186" s="120" t="s">
        <v>1017</v>
      </c>
      <c r="R186" s="13" t="s">
        <v>498</v>
      </c>
      <c r="S186" s="7">
        <v>1</v>
      </c>
      <c r="T186" s="14">
        <v>1500</v>
      </c>
      <c r="U186" s="15">
        <f t="shared" si="36"/>
        <v>750</v>
      </c>
      <c r="V186" s="14">
        <v>5</v>
      </c>
      <c r="W186" s="15">
        <f t="shared" si="37"/>
        <v>745</v>
      </c>
      <c r="X186" s="9" t="s">
        <v>495</v>
      </c>
      <c r="Y186" s="7" t="s">
        <v>506</v>
      </c>
      <c r="Z186" s="16">
        <v>3</v>
      </c>
      <c r="AA186" s="17">
        <f t="shared" si="38"/>
        <v>3</v>
      </c>
      <c r="AB186" s="9" t="s">
        <v>494</v>
      </c>
    </row>
    <row r="187" spans="2:28" ht="36">
      <c r="B187" s="189">
        <f t="shared" si="32"/>
        <v>5</v>
      </c>
      <c r="C187" s="112" t="str">
        <f t="shared" si="33"/>
        <v>ATK</v>
      </c>
      <c r="D187" s="7" t="s">
        <v>191</v>
      </c>
      <c r="E187" s="8" t="s">
        <v>1000</v>
      </c>
      <c r="F187" s="8" t="s">
        <v>973</v>
      </c>
      <c r="G187" s="113">
        <f t="shared" si="34"/>
        <v>2</v>
      </c>
      <c r="H187" s="113" t="str">
        <f t="shared" si="35"/>
        <v>완료</v>
      </c>
      <c r="I187" s="117" t="s">
        <v>412</v>
      </c>
      <c r="J187" s="9" t="s">
        <v>392</v>
      </c>
      <c r="K187" s="10" t="s">
        <v>393</v>
      </c>
      <c r="L187" s="11" t="str">
        <f t="shared" si="31"/>
        <v>EE</v>
      </c>
      <c r="M187" s="18" t="s">
        <v>339</v>
      </c>
      <c r="N187" s="12" t="s">
        <v>965</v>
      </c>
      <c r="O187" s="18" t="s">
        <v>845</v>
      </c>
      <c r="P187" s="197" t="s">
        <v>1018</v>
      </c>
      <c r="Q187" s="120" t="s">
        <v>1019</v>
      </c>
      <c r="R187" s="13" t="s">
        <v>506</v>
      </c>
      <c r="S187" s="7">
        <v>1</v>
      </c>
      <c r="T187" s="14">
        <v>2500</v>
      </c>
      <c r="U187" s="15">
        <f t="shared" si="36"/>
        <v>1250</v>
      </c>
      <c r="V187" s="14">
        <v>20</v>
      </c>
      <c r="W187" s="15">
        <f t="shared" si="37"/>
        <v>1230</v>
      </c>
      <c r="X187" s="9" t="s">
        <v>495</v>
      </c>
      <c r="Y187" s="7" t="s">
        <v>506</v>
      </c>
      <c r="Z187" s="16">
        <v>4</v>
      </c>
      <c r="AA187" s="17">
        <f t="shared" si="38"/>
        <v>3</v>
      </c>
      <c r="AB187" s="9" t="s">
        <v>376</v>
      </c>
    </row>
    <row r="188" spans="2:28">
      <c r="B188" s="189">
        <f t="shared" si="32"/>
        <v>4</v>
      </c>
      <c r="C188" s="112" t="str">
        <f t="shared" si="33"/>
        <v>ATK</v>
      </c>
      <c r="D188" s="7" t="s">
        <v>155</v>
      </c>
      <c r="E188" s="8" t="s">
        <v>1020</v>
      </c>
      <c r="F188" s="8" t="s">
        <v>1020</v>
      </c>
      <c r="G188" s="113">
        <f t="shared" si="34"/>
        <v>1</v>
      </c>
      <c r="H188" s="113" t="str">
        <f t="shared" si="35"/>
        <v>완료</v>
      </c>
      <c r="I188" s="117" t="s">
        <v>412</v>
      </c>
      <c r="J188" s="9" t="s">
        <v>392</v>
      </c>
      <c r="K188" s="10" t="s">
        <v>393</v>
      </c>
      <c r="L188" s="11" t="str">
        <f t="shared" si="31"/>
        <v>EE</v>
      </c>
      <c r="M188" s="18" t="s">
        <v>320</v>
      </c>
      <c r="N188" s="12" t="s">
        <v>1021</v>
      </c>
      <c r="O188" s="18" t="s">
        <v>1022</v>
      </c>
      <c r="P188" s="197" t="s">
        <v>1022</v>
      </c>
      <c r="Q188" s="120" t="s">
        <v>1023</v>
      </c>
      <c r="R188" s="13" t="s">
        <v>506</v>
      </c>
      <c r="S188" s="7">
        <v>1</v>
      </c>
      <c r="T188" s="14">
        <v>5000</v>
      </c>
      <c r="U188" s="15">
        <f t="shared" si="36"/>
        <v>2500</v>
      </c>
      <c r="V188" s="14">
        <v>0</v>
      </c>
      <c r="W188" s="15">
        <f t="shared" si="37"/>
        <v>2500</v>
      </c>
      <c r="X188" s="9" t="s">
        <v>495</v>
      </c>
      <c r="Y188" s="7" t="s">
        <v>506</v>
      </c>
      <c r="Z188" s="16">
        <v>4</v>
      </c>
      <c r="AA188" s="17">
        <f t="shared" si="38"/>
        <v>0</v>
      </c>
      <c r="AB188" s="9" t="s">
        <v>376</v>
      </c>
    </row>
    <row r="189" spans="2:28">
      <c r="B189" s="189">
        <f t="shared" si="32"/>
        <v>4</v>
      </c>
      <c r="C189" s="112" t="str">
        <f t="shared" si="33"/>
        <v>ATK</v>
      </c>
      <c r="D189" s="7" t="s">
        <v>303</v>
      </c>
      <c r="E189" s="8" t="s">
        <v>1020</v>
      </c>
      <c r="F189" s="8" t="s">
        <v>1020</v>
      </c>
      <c r="G189" s="113">
        <f t="shared" si="34"/>
        <v>1</v>
      </c>
      <c r="H189" s="113" t="str">
        <f t="shared" si="35"/>
        <v>완료</v>
      </c>
      <c r="I189" s="117" t="s">
        <v>412</v>
      </c>
      <c r="J189" s="9" t="s">
        <v>392</v>
      </c>
      <c r="K189" s="10" t="s">
        <v>393</v>
      </c>
      <c r="L189" s="11" t="str">
        <f t="shared" si="31"/>
        <v>EE</v>
      </c>
      <c r="M189" s="18" t="s">
        <v>423</v>
      </c>
      <c r="N189" s="12" t="s">
        <v>423</v>
      </c>
      <c r="O189" s="18" t="s">
        <v>169</v>
      </c>
      <c r="P189" s="197" t="s">
        <v>506</v>
      </c>
      <c r="Q189" s="120" t="s">
        <v>1024</v>
      </c>
      <c r="R189" s="13" t="s">
        <v>506</v>
      </c>
      <c r="S189" s="7">
        <v>1</v>
      </c>
      <c r="T189" s="14">
        <v>2000</v>
      </c>
      <c r="U189" s="15">
        <f t="shared" si="36"/>
        <v>1000</v>
      </c>
      <c r="V189" s="14">
        <v>0</v>
      </c>
      <c r="W189" s="15">
        <f t="shared" si="37"/>
        <v>1000</v>
      </c>
      <c r="X189" s="9" t="s">
        <v>495</v>
      </c>
      <c r="Y189" s="7" t="s">
        <v>506</v>
      </c>
      <c r="Z189" s="16">
        <v>2</v>
      </c>
      <c r="AA189" s="17">
        <f t="shared" si="38"/>
        <v>0</v>
      </c>
      <c r="AB189" s="9" t="s">
        <v>376</v>
      </c>
    </row>
    <row r="190" spans="2:28">
      <c r="B190" s="189">
        <f t="shared" si="32"/>
        <v>4</v>
      </c>
      <c r="C190" s="112" t="str">
        <f t="shared" si="33"/>
        <v>ATK</v>
      </c>
      <c r="D190" s="7" t="s">
        <v>153</v>
      </c>
      <c r="E190" s="8" t="s">
        <v>1020</v>
      </c>
      <c r="F190" s="8" t="s">
        <v>1020</v>
      </c>
      <c r="G190" s="113">
        <f t="shared" si="34"/>
        <v>1</v>
      </c>
      <c r="H190" s="113" t="str">
        <f t="shared" si="35"/>
        <v>완료</v>
      </c>
      <c r="I190" s="117" t="s">
        <v>412</v>
      </c>
      <c r="J190" s="9" t="s">
        <v>352</v>
      </c>
      <c r="K190" s="10" t="s">
        <v>352</v>
      </c>
      <c r="L190" s="11" t="str">
        <f t="shared" si="31"/>
        <v>K5</v>
      </c>
      <c r="M190" s="18" t="s">
        <v>353</v>
      </c>
      <c r="N190" s="12" t="s">
        <v>1025</v>
      </c>
      <c r="O190" s="18" t="s">
        <v>588</v>
      </c>
      <c r="P190" s="197" t="s">
        <v>506</v>
      </c>
      <c r="Q190" s="120" t="s">
        <v>532</v>
      </c>
      <c r="R190" s="13" t="s">
        <v>506</v>
      </c>
      <c r="S190" s="7">
        <v>1</v>
      </c>
      <c r="T190" s="14">
        <v>3000</v>
      </c>
      <c r="U190" s="15">
        <f t="shared" si="36"/>
        <v>1500</v>
      </c>
      <c r="V190" s="14">
        <v>5</v>
      </c>
      <c r="W190" s="15">
        <f t="shared" si="37"/>
        <v>1495</v>
      </c>
      <c r="X190" s="9" t="s">
        <v>495</v>
      </c>
      <c r="Y190" s="7" t="s">
        <v>506</v>
      </c>
      <c r="Z190" s="16">
        <v>3</v>
      </c>
      <c r="AA190" s="17">
        <f t="shared" si="38"/>
        <v>0</v>
      </c>
      <c r="AB190" s="9" t="s">
        <v>494</v>
      </c>
    </row>
    <row r="191" spans="2:28" ht="24">
      <c r="B191" s="189">
        <f t="shared" si="32"/>
        <v>4</v>
      </c>
      <c r="C191" s="112" t="str">
        <f t="shared" si="33"/>
        <v>ATK</v>
      </c>
      <c r="D191" s="7" t="s">
        <v>1026</v>
      </c>
      <c r="E191" s="8" t="s">
        <v>1020</v>
      </c>
      <c r="F191" s="8" t="s">
        <v>1020</v>
      </c>
      <c r="G191" s="113">
        <f t="shared" si="34"/>
        <v>1</v>
      </c>
      <c r="H191" s="113" t="str">
        <f t="shared" si="35"/>
        <v>완료</v>
      </c>
      <c r="I191" s="117" t="s">
        <v>412</v>
      </c>
      <c r="J191" s="9" t="s">
        <v>338</v>
      </c>
      <c r="K191" s="10" t="s">
        <v>347</v>
      </c>
      <c r="L191" s="11" t="str">
        <f t="shared" si="31"/>
        <v>1T</v>
      </c>
      <c r="M191" s="18" t="s">
        <v>1027</v>
      </c>
      <c r="N191" s="12" t="s">
        <v>1028</v>
      </c>
      <c r="O191" s="18" t="s">
        <v>1029</v>
      </c>
      <c r="P191" s="197" t="s">
        <v>506</v>
      </c>
      <c r="Q191" s="120" t="s">
        <v>1030</v>
      </c>
      <c r="R191" s="13" t="s">
        <v>506</v>
      </c>
      <c r="S191" s="7">
        <v>1</v>
      </c>
      <c r="T191" s="14">
        <v>320</v>
      </c>
      <c r="U191" s="15">
        <f t="shared" si="36"/>
        <v>160</v>
      </c>
      <c r="V191" s="14">
        <v>1</v>
      </c>
      <c r="W191" s="15">
        <f t="shared" si="37"/>
        <v>159</v>
      </c>
      <c r="X191" s="9" t="s">
        <v>495</v>
      </c>
      <c r="Y191" s="7" t="s">
        <v>506</v>
      </c>
      <c r="Z191" s="16">
        <v>3</v>
      </c>
      <c r="AA191" s="17">
        <f t="shared" si="38"/>
        <v>0</v>
      </c>
      <c r="AB191" s="9" t="s">
        <v>422</v>
      </c>
    </row>
    <row r="192" spans="2:28">
      <c r="B192" s="189">
        <f t="shared" si="32"/>
        <v>4</v>
      </c>
      <c r="C192" s="112" t="str">
        <f t="shared" si="33"/>
        <v>ATK</v>
      </c>
      <c r="D192" s="7" t="s">
        <v>496</v>
      </c>
      <c r="E192" s="8" t="s">
        <v>1020</v>
      </c>
      <c r="F192" s="8" t="s">
        <v>1000</v>
      </c>
      <c r="G192" s="113">
        <f t="shared" si="34"/>
        <v>1</v>
      </c>
      <c r="H192" s="113" t="str">
        <f t="shared" si="35"/>
        <v>완료</v>
      </c>
      <c r="I192" s="117" t="s">
        <v>412</v>
      </c>
      <c r="J192" s="9" t="s">
        <v>491</v>
      </c>
      <c r="K192" s="10" t="s">
        <v>492</v>
      </c>
      <c r="L192" s="11" t="str">
        <f t="shared" si="31"/>
        <v>5T</v>
      </c>
      <c r="M192" s="18" t="s">
        <v>371</v>
      </c>
      <c r="N192" s="12" t="s">
        <v>357</v>
      </c>
      <c r="O192" s="18" t="s">
        <v>493</v>
      </c>
      <c r="P192" s="197" t="s">
        <v>372</v>
      </c>
      <c r="Q192" s="120" t="s">
        <v>1031</v>
      </c>
      <c r="R192" s="13" t="s">
        <v>498</v>
      </c>
      <c r="S192" s="7">
        <v>1</v>
      </c>
      <c r="T192" s="14">
        <v>1500</v>
      </c>
      <c r="U192" s="15">
        <f t="shared" si="36"/>
        <v>750</v>
      </c>
      <c r="V192" s="14">
        <v>5</v>
      </c>
      <c r="W192" s="15">
        <f t="shared" si="37"/>
        <v>745</v>
      </c>
      <c r="X192" s="9" t="s">
        <v>495</v>
      </c>
      <c r="Y192" s="7" t="s">
        <v>506</v>
      </c>
      <c r="Z192" s="16">
        <v>2</v>
      </c>
      <c r="AA192" s="17">
        <f t="shared" si="38"/>
        <v>1</v>
      </c>
      <c r="AB192" s="9" t="s">
        <v>494</v>
      </c>
    </row>
    <row r="193" spans="2:28">
      <c r="B193" s="189">
        <f t="shared" si="32"/>
        <v>4</v>
      </c>
      <c r="C193" s="112" t="str">
        <f t="shared" si="33"/>
        <v>ATK</v>
      </c>
      <c r="D193" s="7" t="s">
        <v>324</v>
      </c>
      <c r="E193" s="8" t="s">
        <v>1032</v>
      </c>
      <c r="F193" s="8" t="s">
        <v>1032</v>
      </c>
      <c r="G193" s="113">
        <f t="shared" si="34"/>
        <v>1</v>
      </c>
      <c r="H193" s="113" t="str">
        <f t="shared" si="35"/>
        <v>완료</v>
      </c>
      <c r="I193" s="117" t="s">
        <v>412</v>
      </c>
      <c r="J193" s="9" t="s">
        <v>198</v>
      </c>
      <c r="K193" s="10" t="s">
        <v>199</v>
      </c>
      <c r="L193" s="11" t="str">
        <f t="shared" ref="L193:L256" si="40">LEFT(K193,2)</f>
        <v>3T</v>
      </c>
      <c r="M193" s="18" t="s">
        <v>173</v>
      </c>
      <c r="N193" s="12" t="s">
        <v>822</v>
      </c>
      <c r="O193" s="18" t="s">
        <v>531</v>
      </c>
      <c r="P193" s="197" t="s">
        <v>823</v>
      </c>
      <c r="Q193" s="120" t="s">
        <v>532</v>
      </c>
      <c r="R193" s="13" t="s">
        <v>506</v>
      </c>
      <c r="S193" s="7">
        <v>3</v>
      </c>
      <c r="T193" s="14">
        <v>600</v>
      </c>
      <c r="U193" s="15">
        <f t="shared" si="36"/>
        <v>900</v>
      </c>
      <c r="V193" s="14">
        <v>12</v>
      </c>
      <c r="W193" s="15">
        <f t="shared" si="37"/>
        <v>888</v>
      </c>
      <c r="X193" s="9" t="s">
        <v>495</v>
      </c>
      <c r="Y193" s="7" t="s">
        <v>506</v>
      </c>
      <c r="Z193" s="16">
        <v>2</v>
      </c>
      <c r="AA193" s="17">
        <f t="shared" si="38"/>
        <v>0</v>
      </c>
      <c r="AB193" s="9" t="s">
        <v>213</v>
      </c>
    </row>
    <row r="194" spans="2:28">
      <c r="B194" s="189">
        <f t="shared" ref="B194:B257" si="41">IF(F194&gt;0,IFERROR(WEEKNUM(F194),"")-1,"")</f>
        <v>4</v>
      </c>
      <c r="C194" s="112" t="str">
        <f t="shared" ref="C194:C257" si="42">IF(D194=0,"",(IF(LEFT(D194,3)="ATK","ATK",IF(LEFT(D194,2)="AT",D194,"ATK"))))</f>
        <v>ATK</v>
      </c>
      <c r="D194" s="7" t="s">
        <v>379</v>
      </c>
      <c r="E194" s="8" t="s">
        <v>1032</v>
      </c>
      <c r="F194" s="8" t="s">
        <v>1032</v>
      </c>
      <c r="G194" s="113">
        <f t="shared" ref="G194:G257" si="43">IF(F194&gt;0,MONTH(F194),"")</f>
        <v>1</v>
      </c>
      <c r="H194" s="113" t="str">
        <f t="shared" ref="H194:H257" si="44">IF(I194=0,"",IF(RIGHT(I194,2)="완료","완료",IF(RIGHT(I194,2)="불가","수리불가",IF(RIGHT(I194,1)="중","수리중","Other"))))</f>
        <v>완료</v>
      </c>
      <c r="I194" s="117" t="s">
        <v>412</v>
      </c>
      <c r="J194" s="9" t="s">
        <v>377</v>
      </c>
      <c r="K194" s="10" t="s">
        <v>377</v>
      </c>
      <c r="L194" s="11" t="str">
        <f t="shared" si="40"/>
        <v>Bu</v>
      </c>
      <c r="M194" s="18" t="s">
        <v>1033</v>
      </c>
      <c r="N194" s="12" t="s">
        <v>225</v>
      </c>
      <c r="O194" s="18" t="s">
        <v>1034</v>
      </c>
      <c r="P194" s="197" t="s">
        <v>506</v>
      </c>
      <c r="Q194" s="120" t="s">
        <v>532</v>
      </c>
      <c r="R194" s="13" t="s">
        <v>506</v>
      </c>
      <c r="S194" s="7">
        <v>1</v>
      </c>
      <c r="T194" s="14">
        <v>8000</v>
      </c>
      <c r="U194" s="15">
        <f t="shared" si="36"/>
        <v>4000</v>
      </c>
      <c r="V194" s="14">
        <v>20</v>
      </c>
      <c r="W194" s="15">
        <f t="shared" si="37"/>
        <v>3980</v>
      </c>
      <c r="X194" s="9" t="s">
        <v>495</v>
      </c>
      <c r="Y194" s="7" t="s">
        <v>506</v>
      </c>
      <c r="Z194" s="16">
        <v>3</v>
      </c>
      <c r="AA194" s="17">
        <f t="shared" si="38"/>
        <v>0</v>
      </c>
      <c r="AB194" s="9" t="s">
        <v>213</v>
      </c>
    </row>
    <row r="195" spans="2:28" ht="24">
      <c r="B195" s="189">
        <f t="shared" si="41"/>
        <v>5</v>
      </c>
      <c r="C195" s="112" t="str">
        <f t="shared" si="42"/>
        <v>ATK</v>
      </c>
      <c r="D195" s="7" t="s">
        <v>1035</v>
      </c>
      <c r="E195" s="8" t="s">
        <v>1032</v>
      </c>
      <c r="F195" s="8" t="s">
        <v>914</v>
      </c>
      <c r="G195" s="113">
        <f t="shared" si="43"/>
        <v>2</v>
      </c>
      <c r="H195" s="113" t="str">
        <f t="shared" si="44"/>
        <v>완료</v>
      </c>
      <c r="I195" s="117" t="s">
        <v>412</v>
      </c>
      <c r="J195" s="9" t="s">
        <v>352</v>
      </c>
      <c r="K195" s="10" t="s">
        <v>352</v>
      </c>
      <c r="L195" s="11" t="str">
        <f t="shared" si="40"/>
        <v>K5</v>
      </c>
      <c r="M195" s="18" t="s">
        <v>769</v>
      </c>
      <c r="N195" s="12" t="s">
        <v>1036</v>
      </c>
      <c r="O195" s="18" t="s">
        <v>1037</v>
      </c>
      <c r="P195" s="197" t="s">
        <v>1038</v>
      </c>
      <c r="Q195" s="120" t="s">
        <v>1039</v>
      </c>
      <c r="R195" s="13" t="s">
        <v>1040</v>
      </c>
      <c r="S195" s="7">
        <v>1</v>
      </c>
      <c r="T195" s="14">
        <v>80000</v>
      </c>
      <c r="U195" s="15">
        <f t="shared" si="36"/>
        <v>40000</v>
      </c>
      <c r="V195" s="14">
        <v>50</v>
      </c>
      <c r="W195" s="15">
        <f t="shared" si="37"/>
        <v>39950</v>
      </c>
      <c r="X195" s="9" t="s">
        <v>495</v>
      </c>
      <c r="Y195" s="7" t="s">
        <v>506</v>
      </c>
      <c r="Z195" s="16">
        <v>26</v>
      </c>
      <c r="AA195" s="17">
        <f t="shared" si="38"/>
        <v>7</v>
      </c>
      <c r="AB195" s="9" t="s">
        <v>213</v>
      </c>
    </row>
    <row r="196" spans="2:28">
      <c r="B196" s="189">
        <f t="shared" si="41"/>
        <v>4</v>
      </c>
      <c r="C196" s="112" t="str">
        <f t="shared" si="42"/>
        <v>ATK</v>
      </c>
      <c r="D196" s="7" t="s">
        <v>155</v>
      </c>
      <c r="E196" s="8" t="s">
        <v>1032</v>
      </c>
      <c r="F196" s="8" t="s">
        <v>1032</v>
      </c>
      <c r="G196" s="113">
        <f t="shared" si="43"/>
        <v>1</v>
      </c>
      <c r="H196" s="113" t="str">
        <f t="shared" si="44"/>
        <v>완료</v>
      </c>
      <c r="I196" s="117" t="s">
        <v>412</v>
      </c>
      <c r="J196" s="9" t="s">
        <v>392</v>
      </c>
      <c r="K196" s="10" t="s">
        <v>393</v>
      </c>
      <c r="L196" s="11" t="str">
        <f t="shared" si="40"/>
        <v>EE</v>
      </c>
      <c r="M196" s="18" t="s">
        <v>320</v>
      </c>
      <c r="N196" s="12" t="s">
        <v>211</v>
      </c>
      <c r="O196" s="18" t="s">
        <v>1041</v>
      </c>
      <c r="P196" s="197" t="s">
        <v>506</v>
      </c>
      <c r="Q196" s="120" t="s">
        <v>532</v>
      </c>
      <c r="R196" s="13" t="s">
        <v>506</v>
      </c>
      <c r="S196" s="7">
        <v>1</v>
      </c>
      <c r="T196" s="14">
        <v>800</v>
      </c>
      <c r="U196" s="15">
        <f t="shared" ref="U196:U259" si="45">(T196*50)/100*S196</f>
        <v>400</v>
      </c>
      <c r="V196" s="14">
        <v>100</v>
      </c>
      <c r="W196" s="15">
        <f t="shared" ref="W196:W259" si="46">U196-V196</f>
        <v>300</v>
      </c>
      <c r="X196" s="9" t="s">
        <v>495</v>
      </c>
      <c r="Y196" s="7" t="s">
        <v>506</v>
      </c>
      <c r="Z196" s="16">
        <v>2</v>
      </c>
      <c r="AA196" s="17">
        <f t="shared" ref="AA196:AA259" si="47">F196-E196</f>
        <v>0</v>
      </c>
      <c r="AB196" s="9" t="s">
        <v>494</v>
      </c>
    </row>
    <row r="197" spans="2:28">
      <c r="B197" s="189">
        <f t="shared" si="41"/>
        <v>4</v>
      </c>
      <c r="C197" s="112" t="str">
        <f t="shared" si="42"/>
        <v>ATK</v>
      </c>
      <c r="D197" s="7" t="s">
        <v>265</v>
      </c>
      <c r="E197" s="8" t="s">
        <v>1032</v>
      </c>
      <c r="F197" s="8" t="s">
        <v>1020</v>
      </c>
      <c r="G197" s="113">
        <f t="shared" si="43"/>
        <v>1</v>
      </c>
      <c r="H197" s="113" t="str">
        <f t="shared" si="44"/>
        <v>완료</v>
      </c>
      <c r="I197" s="117" t="s">
        <v>412</v>
      </c>
      <c r="J197" s="9" t="s">
        <v>566</v>
      </c>
      <c r="K197" s="10" t="s">
        <v>163</v>
      </c>
      <c r="L197" s="11" t="str">
        <f t="shared" si="40"/>
        <v>6T</v>
      </c>
      <c r="M197" s="18" t="s">
        <v>1042</v>
      </c>
      <c r="N197" s="12" t="s">
        <v>584</v>
      </c>
      <c r="O197" s="18" t="s">
        <v>1043</v>
      </c>
      <c r="P197" s="197" t="s">
        <v>506</v>
      </c>
      <c r="Q197" s="120" t="s">
        <v>1044</v>
      </c>
      <c r="R197" s="13" t="s">
        <v>506</v>
      </c>
      <c r="S197" s="7">
        <v>1</v>
      </c>
      <c r="T197" s="14">
        <v>3000</v>
      </c>
      <c r="U197" s="15">
        <f t="shared" si="45"/>
        <v>1500</v>
      </c>
      <c r="V197" s="14">
        <v>5</v>
      </c>
      <c r="W197" s="15">
        <f t="shared" si="46"/>
        <v>1495</v>
      </c>
      <c r="X197" s="9" t="s">
        <v>495</v>
      </c>
      <c r="Y197" s="7" t="s">
        <v>506</v>
      </c>
      <c r="Z197" s="16">
        <v>3</v>
      </c>
      <c r="AA197" s="17">
        <f t="shared" si="47"/>
        <v>1</v>
      </c>
      <c r="AB197" s="9" t="s">
        <v>494</v>
      </c>
    </row>
    <row r="198" spans="2:28">
      <c r="B198" s="189">
        <f t="shared" si="41"/>
        <v>4</v>
      </c>
      <c r="C198" s="112" t="str">
        <f t="shared" si="42"/>
        <v>ATK</v>
      </c>
      <c r="D198" s="7" t="s">
        <v>737</v>
      </c>
      <c r="E198" s="8" t="s">
        <v>1032</v>
      </c>
      <c r="F198" s="8" t="s">
        <v>1032</v>
      </c>
      <c r="G198" s="113">
        <f t="shared" si="43"/>
        <v>1</v>
      </c>
      <c r="H198" s="113" t="str">
        <f t="shared" si="44"/>
        <v>완료</v>
      </c>
      <c r="I198" s="117" t="s">
        <v>412</v>
      </c>
      <c r="J198" s="9" t="s">
        <v>198</v>
      </c>
      <c r="K198" s="10" t="s">
        <v>186</v>
      </c>
      <c r="L198" s="11" t="str">
        <f t="shared" si="40"/>
        <v>3T</v>
      </c>
      <c r="M198" s="18" t="s">
        <v>168</v>
      </c>
      <c r="N198" s="12" t="s">
        <v>1045</v>
      </c>
      <c r="O198" s="18" t="s">
        <v>523</v>
      </c>
      <c r="P198" s="197" t="s">
        <v>506</v>
      </c>
      <c r="Q198" s="120" t="s">
        <v>1046</v>
      </c>
      <c r="R198" s="13" t="s">
        <v>506</v>
      </c>
      <c r="S198" s="7">
        <v>2</v>
      </c>
      <c r="T198" s="14">
        <v>600</v>
      </c>
      <c r="U198" s="15">
        <f t="shared" si="45"/>
        <v>600</v>
      </c>
      <c r="V198" s="14">
        <v>4</v>
      </c>
      <c r="W198" s="15">
        <f t="shared" si="46"/>
        <v>596</v>
      </c>
      <c r="X198" s="9" t="s">
        <v>495</v>
      </c>
      <c r="Y198" s="7" t="s">
        <v>506</v>
      </c>
      <c r="Z198" s="16">
        <v>1</v>
      </c>
      <c r="AA198" s="17">
        <f t="shared" si="47"/>
        <v>0</v>
      </c>
      <c r="AB198" s="9" t="s">
        <v>213</v>
      </c>
    </row>
    <row r="199" spans="2:28">
      <c r="B199" s="189">
        <f t="shared" si="41"/>
        <v>4</v>
      </c>
      <c r="C199" s="112" t="str">
        <f t="shared" si="42"/>
        <v>ATK</v>
      </c>
      <c r="D199" s="7" t="s">
        <v>165</v>
      </c>
      <c r="E199" s="8" t="s">
        <v>1032</v>
      </c>
      <c r="F199" s="8" t="s">
        <v>1020</v>
      </c>
      <c r="G199" s="113">
        <f t="shared" si="43"/>
        <v>1</v>
      </c>
      <c r="H199" s="113" t="str">
        <f t="shared" si="44"/>
        <v>완료</v>
      </c>
      <c r="I199" s="117" t="s">
        <v>412</v>
      </c>
      <c r="J199" s="9" t="s">
        <v>491</v>
      </c>
      <c r="K199" s="10" t="s">
        <v>1047</v>
      </c>
      <c r="L199" s="11" t="str">
        <f t="shared" si="40"/>
        <v>1T</v>
      </c>
      <c r="M199" s="18" t="s">
        <v>378</v>
      </c>
      <c r="N199" s="12" t="s">
        <v>506</v>
      </c>
      <c r="O199" s="18" t="s">
        <v>596</v>
      </c>
      <c r="P199" s="197" t="s">
        <v>1048</v>
      </c>
      <c r="Q199" s="120" t="s">
        <v>1049</v>
      </c>
      <c r="R199" s="13" t="s">
        <v>506</v>
      </c>
      <c r="S199" s="7">
        <v>1</v>
      </c>
      <c r="T199" s="14">
        <v>500</v>
      </c>
      <c r="U199" s="15">
        <f t="shared" si="45"/>
        <v>250</v>
      </c>
      <c r="V199" s="14">
        <v>0</v>
      </c>
      <c r="W199" s="15">
        <f t="shared" si="46"/>
        <v>250</v>
      </c>
      <c r="X199" s="9" t="s">
        <v>495</v>
      </c>
      <c r="Y199" s="7" t="s">
        <v>506</v>
      </c>
      <c r="Z199" s="16">
        <v>7</v>
      </c>
      <c r="AA199" s="17">
        <f t="shared" si="47"/>
        <v>1</v>
      </c>
      <c r="AB199" s="9" t="s">
        <v>141</v>
      </c>
    </row>
    <row r="200" spans="2:28" ht="24">
      <c r="B200" s="189">
        <f t="shared" si="41"/>
        <v>4</v>
      </c>
      <c r="C200" s="112" t="str">
        <f t="shared" si="42"/>
        <v>ATK</v>
      </c>
      <c r="D200" s="7" t="s">
        <v>337</v>
      </c>
      <c r="E200" s="8" t="s">
        <v>1050</v>
      </c>
      <c r="F200" s="8" t="s">
        <v>1032</v>
      </c>
      <c r="G200" s="113">
        <f t="shared" si="43"/>
        <v>1</v>
      </c>
      <c r="H200" s="113" t="str">
        <f t="shared" si="44"/>
        <v>완료</v>
      </c>
      <c r="I200" s="117" t="s">
        <v>412</v>
      </c>
      <c r="J200" s="9" t="s">
        <v>338</v>
      </c>
      <c r="K200" s="10" t="s">
        <v>251</v>
      </c>
      <c r="L200" s="11" t="str">
        <f t="shared" si="40"/>
        <v>1T</v>
      </c>
      <c r="M200" s="18" t="s">
        <v>952</v>
      </c>
      <c r="N200" s="12" t="s">
        <v>953</v>
      </c>
      <c r="O200" s="18" t="s">
        <v>954</v>
      </c>
      <c r="P200" s="197" t="s">
        <v>1051</v>
      </c>
      <c r="Q200" s="120" t="s">
        <v>1052</v>
      </c>
      <c r="R200" s="13" t="s">
        <v>506</v>
      </c>
      <c r="S200" s="7">
        <v>2</v>
      </c>
      <c r="T200" s="14">
        <v>1000</v>
      </c>
      <c r="U200" s="15">
        <f t="shared" si="45"/>
        <v>1000</v>
      </c>
      <c r="V200" s="14">
        <v>0</v>
      </c>
      <c r="W200" s="15">
        <f t="shared" si="46"/>
        <v>1000</v>
      </c>
      <c r="X200" s="9" t="s">
        <v>495</v>
      </c>
      <c r="Y200" s="7" t="s">
        <v>506</v>
      </c>
      <c r="Z200" s="16">
        <v>7</v>
      </c>
      <c r="AA200" s="17">
        <f t="shared" si="47"/>
        <v>1</v>
      </c>
      <c r="AB200" s="9" t="s">
        <v>141</v>
      </c>
    </row>
    <row r="201" spans="2:28">
      <c r="B201" s="189">
        <f t="shared" si="41"/>
        <v>4</v>
      </c>
      <c r="C201" s="112" t="str">
        <f t="shared" si="42"/>
        <v>ATK</v>
      </c>
      <c r="D201" s="7" t="s">
        <v>374</v>
      </c>
      <c r="E201" s="8" t="s">
        <v>1050</v>
      </c>
      <c r="F201" s="8" t="s">
        <v>1050</v>
      </c>
      <c r="G201" s="113">
        <f t="shared" si="43"/>
        <v>1</v>
      </c>
      <c r="H201" s="113" t="str">
        <f t="shared" si="44"/>
        <v>완료</v>
      </c>
      <c r="I201" s="117" t="s">
        <v>412</v>
      </c>
      <c r="J201" s="9" t="s">
        <v>381</v>
      </c>
      <c r="K201" s="10" t="s">
        <v>170</v>
      </c>
      <c r="L201" s="11" t="str">
        <f t="shared" si="40"/>
        <v>2T</v>
      </c>
      <c r="M201" s="18" t="s">
        <v>1053</v>
      </c>
      <c r="N201" s="12" t="s">
        <v>533</v>
      </c>
      <c r="O201" s="18" t="s">
        <v>413</v>
      </c>
      <c r="P201" s="197" t="s">
        <v>323</v>
      </c>
      <c r="Q201" s="120" t="s">
        <v>1054</v>
      </c>
      <c r="R201" s="13" t="s">
        <v>506</v>
      </c>
      <c r="S201" s="7">
        <v>1</v>
      </c>
      <c r="T201" s="14">
        <v>1000</v>
      </c>
      <c r="U201" s="15">
        <f t="shared" si="45"/>
        <v>500</v>
      </c>
      <c r="V201" s="14">
        <v>0</v>
      </c>
      <c r="W201" s="15">
        <f t="shared" si="46"/>
        <v>500</v>
      </c>
      <c r="X201" s="9" t="s">
        <v>495</v>
      </c>
      <c r="Y201" s="7" t="s">
        <v>506</v>
      </c>
      <c r="Z201" s="16">
        <v>2</v>
      </c>
      <c r="AA201" s="17">
        <f t="shared" si="47"/>
        <v>0</v>
      </c>
      <c r="AB201" s="9" t="s">
        <v>141</v>
      </c>
    </row>
    <row r="202" spans="2:28">
      <c r="B202" s="189">
        <f t="shared" si="41"/>
        <v>4</v>
      </c>
      <c r="C202" s="112" t="str">
        <f t="shared" si="42"/>
        <v>ATK</v>
      </c>
      <c r="D202" s="7" t="s">
        <v>942</v>
      </c>
      <c r="E202" s="8" t="s">
        <v>1050</v>
      </c>
      <c r="F202" s="8" t="s">
        <v>1050</v>
      </c>
      <c r="G202" s="113">
        <f t="shared" si="43"/>
        <v>1</v>
      </c>
      <c r="H202" s="113" t="str">
        <f t="shared" si="44"/>
        <v>완료</v>
      </c>
      <c r="I202" s="117" t="s">
        <v>412</v>
      </c>
      <c r="J202" s="9" t="s">
        <v>338</v>
      </c>
      <c r="K202" s="10" t="s">
        <v>143</v>
      </c>
      <c r="L202" s="11" t="str">
        <f t="shared" si="40"/>
        <v>1T</v>
      </c>
      <c r="M202" s="18" t="s">
        <v>1055</v>
      </c>
      <c r="N202" s="12" t="s">
        <v>1056</v>
      </c>
      <c r="O202" s="18" t="s">
        <v>1057</v>
      </c>
      <c r="P202" s="197" t="s">
        <v>1058</v>
      </c>
      <c r="Q202" s="120" t="s">
        <v>1059</v>
      </c>
      <c r="R202" s="13" t="s">
        <v>506</v>
      </c>
      <c r="S202" s="7">
        <v>1</v>
      </c>
      <c r="T202" s="14">
        <v>250</v>
      </c>
      <c r="U202" s="15">
        <f t="shared" si="45"/>
        <v>125</v>
      </c>
      <c r="V202" s="14">
        <v>1</v>
      </c>
      <c r="W202" s="15">
        <f t="shared" si="46"/>
        <v>124</v>
      </c>
      <c r="X202" s="9" t="s">
        <v>495</v>
      </c>
      <c r="Y202" s="7" t="s">
        <v>506</v>
      </c>
      <c r="Z202" s="16">
        <v>1</v>
      </c>
      <c r="AA202" s="17">
        <f t="shared" si="47"/>
        <v>0</v>
      </c>
      <c r="AB202" s="9" t="s">
        <v>422</v>
      </c>
    </row>
    <row r="203" spans="2:28">
      <c r="B203" s="189">
        <f t="shared" si="41"/>
        <v>4</v>
      </c>
      <c r="C203" s="112" t="str">
        <f t="shared" si="42"/>
        <v>ATK</v>
      </c>
      <c r="D203" s="7" t="s">
        <v>287</v>
      </c>
      <c r="E203" s="8" t="s">
        <v>1050</v>
      </c>
      <c r="F203" s="8" t="s">
        <v>1020</v>
      </c>
      <c r="G203" s="113">
        <f t="shared" si="43"/>
        <v>1</v>
      </c>
      <c r="H203" s="113" t="str">
        <f t="shared" si="44"/>
        <v>완료</v>
      </c>
      <c r="I203" s="117" t="s">
        <v>412</v>
      </c>
      <c r="J203" s="9" t="s">
        <v>198</v>
      </c>
      <c r="K203" s="10" t="s">
        <v>199</v>
      </c>
      <c r="L203" s="11" t="str">
        <f t="shared" si="40"/>
        <v>3T</v>
      </c>
      <c r="M203" s="18" t="s">
        <v>985</v>
      </c>
      <c r="N203" s="12" t="s">
        <v>506</v>
      </c>
      <c r="O203" s="18" t="s">
        <v>431</v>
      </c>
      <c r="P203" s="197" t="s">
        <v>334</v>
      </c>
      <c r="Q203" s="120" t="s">
        <v>1060</v>
      </c>
      <c r="R203" s="13" t="s">
        <v>506</v>
      </c>
      <c r="S203" s="7">
        <v>1</v>
      </c>
      <c r="T203" s="14">
        <v>500</v>
      </c>
      <c r="U203" s="15">
        <f t="shared" si="45"/>
        <v>250</v>
      </c>
      <c r="V203" s="14">
        <v>0</v>
      </c>
      <c r="W203" s="15">
        <f t="shared" si="46"/>
        <v>250</v>
      </c>
      <c r="X203" s="9" t="s">
        <v>495</v>
      </c>
      <c r="Y203" s="7" t="s">
        <v>506</v>
      </c>
      <c r="Z203" s="16">
        <v>3</v>
      </c>
      <c r="AA203" s="17">
        <f t="shared" si="47"/>
        <v>2</v>
      </c>
      <c r="AB203" s="9" t="s">
        <v>141</v>
      </c>
    </row>
    <row r="204" spans="2:28">
      <c r="B204" s="189">
        <f t="shared" si="41"/>
        <v>4</v>
      </c>
      <c r="C204" s="112" t="str">
        <f t="shared" si="42"/>
        <v>ATP</v>
      </c>
      <c r="D204" s="7" t="s">
        <v>179</v>
      </c>
      <c r="E204" s="8" t="s">
        <v>1050</v>
      </c>
      <c r="F204" s="8" t="s">
        <v>1000</v>
      </c>
      <c r="G204" s="113">
        <f t="shared" si="43"/>
        <v>1</v>
      </c>
      <c r="H204" s="113" t="str">
        <f t="shared" si="44"/>
        <v>완료</v>
      </c>
      <c r="I204" s="117" t="s">
        <v>412</v>
      </c>
      <c r="J204" s="9" t="s">
        <v>179</v>
      </c>
      <c r="K204" s="10" t="s">
        <v>179</v>
      </c>
      <c r="L204" s="11" t="str">
        <f t="shared" si="40"/>
        <v>AT</v>
      </c>
      <c r="M204" s="18" t="s">
        <v>339</v>
      </c>
      <c r="N204" s="12" t="s">
        <v>604</v>
      </c>
      <c r="O204" s="18" t="s">
        <v>195</v>
      </c>
      <c r="P204" s="197" t="s">
        <v>194</v>
      </c>
      <c r="Q204" s="120" t="s">
        <v>635</v>
      </c>
      <c r="R204" s="13" t="s">
        <v>506</v>
      </c>
      <c r="S204" s="7">
        <v>2</v>
      </c>
      <c r="T204" s="14">
        <v>4500</v>
      </c>
      <c r="U204" s="15">
        <f t="shared" si="45"/>
        <v>4500</v>
      </c>
      <c r="V204" s="14">
        <v>50</v>
      </c>
      <c r="W204" s="15">
        <f t="shared" si="46"/>
        <v>4450</v>
      </c>
      <c r="X204" s="9" t="s">
        <v>495</v>
      </c>
      <c r="Y204" s="7" t="s">
        <v>506</v>
      </c>
      <c r="Z204" s="16">
        <v>1</v>
      </c>
      <c r="AA204" s="17">
        <f t="shared" si="47"/>
        <v>3</v>
      </c>
      <c r="AB204" s="9" t="s">
        <v>376</v>
      </c>
    </row>
    <row r="205" spans="2:28">
      <c r="B205" s="189">
        <f t="shared" si="41"/>
        <v>4</v>
      </c>
      <c r="C205" s="112" t="str">
        <f t="shared" si="42"/>
        <v>ATP</v>
      </c>
      <c r="D205" s="7" t="s">
        <v>179</v>
      </c>
      <c r="E205" s="8" t="s">
        <v>1050</v>
      </c>
      <c r="F205" s="8" t="s">
        <v>1000</v>
      </c>
      <c r="G205" s="113">
        <f t="shared" si="43"/>
        <v>1</v>
      </c>
      <c r="H205" s="113" t="str">
        <f t="shared" si="44"/>
        <v>완료</v>
      </c>
      <c r="I205" s="117" t="s">
        <v>412</v>
      </c>
      <c r="J205" s="9" t="s">
        <v>179</v>
      </c>
      <c r="K205" s="10" t="s">
        <v>179</v>
      </c>
      <c r="L205" s="11" t="str">
        <f t="shared" si="40"/>
        <v>AT</v>
      </c>
      <c r="M205" s="18" t="s">
        <v>339</v>
      </c>
      <c r="N205" s="12" t="s">
        <v>604</v>
      </c>
      <c r="O205" s="18" t="s">
        <v>195</v>
      </c>
      <c r="P205" s="197" t="s">
        <v>1061</v>
      </c>
      <c r="Q205" s="120" t="s">
        <v>635</v>
      </c>
      <c r="R205" s="13" t="s">
        <v>506</v>
      </c>
      <c r="S205" s="7">
        <v>1</v>
      </c>
      <c r="T205" s="14">
        <v>4500</v>
      </c>
      <c r="U205" s="15">
        <f t="shared" si="45"/>
        <v>2250</v>
      </c>
      <c r="V205" s="14">
        <v>50</v>
      </c>
      <c r="W205" s="15">
        <f t="shared" si="46"/>
        <v>2200</v>
      </c>
      <c r="X205" s="9" t="s">
        <v>495</v>
      </c>
      <c r="Y205" s="7" t="s">
        <v>506</v>
      </c>
      <c r="Z205" s="16">
        <v>1</v>
      </c>
      <c r="AA205" s="17">
        <f t="shared" si="47"/>
        <v>3</v>
      </c>
      <c r="AB205" s="9" t="s">
        <v>376</v>
      </c>
    </row>
    <row r="206" spans="2:28">
      <c r="B206" s="189">
        <f t="shared" si="41"/>
        <v>4</v>
      </c>
      <c r="C206" s="112" t="str">
        <f t="shared" si="42"/>
        <v>ATP</v>
      </c>
      <c r="D206" s="7" t="s">
        <v>179</v>
      </c>
      <c r="E206" s="8" t="s">
        <v>1050</v>
      </c>
      <c r="F206" s="8" t="s">
        <v>1000</v>
      </c>
      <c r="G206" s="113">
        <f t="shared" si="43"/>
        <v>1</v>
      </c>
      <c r="H206" s="113" t="str">
        <f t="shared" si="44"/>
        <v>완료</v>
      </c>
      <c r="I206" s="117" t="s">
        <v>412</v>
      </c>
      <c r="J206" s="9" t="s">
        <v>179</v>
      </c>
      <c r="K206" s="10" t="s">
        <v>179</v>
      </c>
      <c r="L206" s="11" t="str">
        <f t="shared" si="40"/>
        <v>AT</v>
      </c>
      <c r="M206" s="18" t="s">
        <v>339</v>
      </c>
      <c r="N206" s="12" t="s">
        <v>604</v>
      </c>
      <c r="O206" s="18" t="s">
        <v>1062</v>
      </c>
      <c r="P206" s="197" t="s">
        <v>1063</v>
      </c>
      <c r="Q206" s="120" t="s">
        <v>635</v>
      </c>
      <c r="R206" s="13" t="s">
        <v>506</v>
      </c>
      <c r="S206" s="7">
        <v>3</v>
      </c>
      <c r="T206" s="14">
        <v>3500</v>
      </c>
      <c r="U206" s="15">
        <f t="shared" si="45"/>
        <v>5250</v>
      </c>
      <c r="V206" s="14">
        <v>50</v>
      </c>
      <c r="W206" s="15">
        <f t="shared" si="46"/>
        <v>5200</v>
      </c>
      <c r="X206" s="9" t="s">
        <v>495</v>
      </c>
      <c r="Y206" s="7" t="s">
        <v>506</v>
      </c>
      <c r="Z206" s="16">
        <v>1</v>
      </c>
      <c r="AA206" s="17">
        <f t="shared" si="47"/>
        <v>3</v>
      </c>
      <c r="AB206" s="9" t="s">
        <v>494</v>
      </c>
    </row>
    <row r="207" spans="2:28">
      <c r="B207" s="189">
        <f t="shared" si="41"/>
        <v>4</v>
      </c>
      <c r="C207" s="112" t="str">
        <f t="shared" si="42"/>
        <v>ATP</v>
      </c>
      <c r="D207" s="7" t="s">
        <v>179</v>
      </c>
      <c r="E207" s="8" t="s">
        <v>1050</v>
      </c>
      <c r="F207" s="8" t="s">
        <v>1000</v>
      </c>
      <c r="G207" s="113">
        <f t="shared" si="43"/>
        <v>1</v>
      </c>
      <c r="H207" s="113" t="str">
        <f t="shared" si="44"/>
        <v>완료</v>
      </c>
      <c r="I207" s="117" t="s">
        <v>412</v>
      </c>
      <c r="J207" s="9" t="s">
        <v>179</v>
      </c>
      <c r="K207" s="10" t="s">
        <v>179</v>
      </c>
      <c r="L207" s="11" t="str">
        <f t="shared" si="40"/>
        <v>AT</v>
      </c>
      <c r="M207" s="18" t="s">
        <v>339</v>
      </c>
      <c r="N207" s="12" t="s">
        <v>604</v>
      </c>
      <c r="O207" s="18" t="s">
        <v>1062</v>
      </c>
      <c r="P207" s="197" t="s">
        <v>1064</v>
      </c>
      <c r="Q207" s="120" t="s">
        <v>635</v>
      </c>
      <c r="R207" s="13" t="s">
        <v>506</v>
      </c>
      <c r="S207" s="7">
        <v>2</v>
      </c>
      <c r="T207" s="14">
        <v>3500</v>
      </c>
      <c r="U207" s="15">
        <f t="shared" si="45"/>
        <v>3500</v>
      </c>
      <c r="V207" s="14">
        <v>50</v>
      </c>
      <c r="W207" s="15">
        <f t="shared" si="46"/>
        <v>3450</v>
      </c>
      <c r="X207" s="9" t="s">
        <v>495</v>
      </c>
      <c r="Y207" s="7" t="s">
        <v>506</v>
      </c>
      <c r="Z207" s="16">
        <v>1</v>
      </c>
      <c r="AA207" s="17">
        <f t="shared" si="47"/>
        <v>3</v>
      </c>
      <c r="AB207" s="9" t="s">
        <v>494</v>
      </c>
    </row>
    <row r="208" spans="2:28">
      <c r="B208" s="189">
        <f t="shared" si="41"/>
        <v>4</v>
      </c>
      <c r="C208" s="112" t="str">
        <f t="shared" si="42"/>
        <v>ATP</v>
      </c>
      <c r="D208" s="7" t="s">
        <v>179</v>
      </c>
      <c r="E208" s="8" t="s">
        <v>1050</v>
      </c>
      <c r="F208" s="8" t="s">
        <v>1000</v>
      </c>
      <c r="G208" s="113">
        <f t="shared" si="43"/>
        <v>1</v>
      </c>
      <c r="H208" s="113" t="str">
        <f t="shared" si="44"/>
        <v>완료</v>
      </c>
      <c r="I208" s="117" t="s">
        <v>412</v>
      </c>
      <c r="J208" s="9" t="s">
        <v>179</v>
      </c>
      <c r="K208" s="10" t="s">
        <v>179</v>
      </c>
      <c r="L208" s="11" t="str">
        <f t="shared" si="40"/>
        <v>AT</v>
      </c>
      <c r="M208" s="18" t="s">
        <v>339</v>
      </c>
      <c r="N208" s="12" t="s">
        <v>604</v>
      </c>
      <c r="O208" s="18" t="s">
        <v>1062</v>
      </c>
      <c r="P208" s="197" t="s">
        <v>1065</v>
      </c>
      <c r="Q208" s="120" t="s">
        <v>635</v>
      </c>
      <c r="R208" s="13" t="s">
        <v>506</v>
      </c>
      <c r="S208" s="7">
        <v>2</v>
      </c>
      <c r="T208" s="14">
        <v>3500</v>
      </c>
      <c r="U208" s="15">
        <f t="shared" si="45"/>
        <v>3500</v>
      </c>
      <c r="V208" s="14">
        <v>50</v>
      </c>
      <c r="W208" s="15">
        <f t="shared" si="46"/>
        <v>3450</v>
      </c>
      <c r="X208" s="9" t="s">
        <v>495</v>
      </c>
      <c r="Y208" s="7" t="s">
        <v>506</v>
      </c>
      <c r="Z208" s="16">
        <v>1</v>
      </c>
      <c r="AA208" s="17">
        <f t="shared" si="47"/>
        <v>3</v>
      </c>
      <c r="AB208" s="9" t="s">
        <v>213</v>
      </c>
    </row>
    <row r="209" spans="2:28">
      <c r="B209" s="189">
        <f t="shared" si="41"/>
        <v>4</v>
      </c>
      <c r="C209" s="112" t="str">
        <f t="shared" si="42"/>
        <v>ATK</v>
      </c>
      <c r="D209" s="7" t="s">
        <v>265</v>
      </c>
      <c r="E209" s="8" t="s">
        <v>1066</v>
      </c>
      <c r="F209" s="8" t="s">
        <v>1066</v>
      </c>
      <c r="G209" s="113">
        <f t="shared" si="43"/>
        <v>1</v>
      </c>
      <c r="H209" s="113" t="str">
        <f t="shared" si="44"/>
        <v>완료</v>
      </c>
      <c r="I209" s="117" t="s">
        <v>412</v>
      </c>
      <c r="J209" s="9" t="s">
        <v>338</v>
      </c>
      <c r="K209" s="10" t="s">
        <v>143</v>
      </c>
      <c r="L209" s="11" t="str">
        <f t="shared" si="40"/>
        <v>1T</v>
      </c>
      <c r="M209" s="18" t="s">
        <v>190</v>
      </c>
      <c r="N209" s="12" t="s">
        <v>423</v>
      </c>
      <c r="O209" s="18" t="s">
        <v>457</v>
      </c>
      <c r="P209" s="197" t="s">
        <v>457</v>
      </c>
      <c r="Q209" s="120" t="s">
        <v>1067</v>
      </c>
      <c r="R209" s="13" t="s">
        <v>506</v>
      </c>
      <c r="S209" s="7">
        <v>1</v>
      </c>
      <c r="T209" s="14">
        <v>500</v>
      </c>
      <c r="U209" s="15">
        <f t="shared" si="45"/>
        <v>250</v>
      </c>
      <c r="V209" s="14">
        <v>5</v>
      </c>
      <c r="W209" s="15">
        <f t="shared" si="46"/>
        <v>245</v>
      </c>
      <c r="X209" s="9" t="s">
        <v>495</v>
      </c>
      <c r="Y209" s="7" t="s">
        <v>506</v>
      </c>
      <c r="Z209" s="16">
        <v>2</v>
      </c>
      <c r="AA209" s="17">
        <f t="shared" si="47"/>
        <v>0</v>
      </c>
      <c r="AB209" s="9" t="s">
        <v>376</v>
      </c>
    </row>
    <row r="210" spans="2:28">
      <c r="B210" s="189">
        <f t="shared" si="41"/>
        <v>4</v>
      </c>
      <c r="C210" s="112" t="str">
        <f t="shared" si="42"/>
        <v>ATK</v>
      </c>
      <c r="D210" s="7" t="s">
        <v>265</v>
      </c>
      <c r="E210" s="8" t="s">
        <v>1066</v>
      </c>
      <c r="F210" s="8" t="s">
        <v>1066</v>
      </c>
      <c r="G210" s="113">
        <f t="shared" si="43"/>
        <v>1</v>
      </c>
      <c r="H210" s="113" t="str">
        <f t="shared" si="44"/>
        <v>완료</v>
      </c>
      <c r="I210" s="117" t="s">
        <v>412</v>
      </c>
      <c r="J210" s="9" t="s">
        <v>338</v>
      </c>
      <c r="K210" s="10" t="s">
        <v>143</v>
      </c>
      <c r="L210" s="11" t="str">
        <f t="shared" si="40"/>
        <v>1T</v>
      </c>
      <c r="M210" s="18" t="s">
        <v>190</v>
      </c>
      <c r="N210" s="12" t="s">
        <v>466</v>
      </c>
      <c r="O210" s="18" t="s">
        <v>467</v>
      </c>
      <c r="P210" s="197" t="s">
        <v>423</v>
      </c>
      <c r="Q210" s="120" t="s">
        <v>1068</v>
      </c>
      <c r="R210" s="13" t="s">
        <v>506</v>
      </c>
      <c r="S210" s="7">
        <v>1</v>
      </c>
      <c r="T210" s="14">
        <v>300</v>
      </c>
      <c r="U210" s="15">
        <f t="shared" si="45"/>
        <v>150</v>
      </c>
      <c r="V210" s="14">
        <v>0</v>
      </c>
      <c r="W210" s="15">
        <f t="shared" si="46"/>
        <v>150</v>
      </c>
      <c r="X210" s="9" t="s">
        <v>495</v>
      </c>
      <c r="Y210" s="7" t="s">
        <v>506</v>
      </c>
      <c r="Z210" s="16">
        <v>2</v>
      </c>
      <c r="AA210" s="17">
        <f t="shared" si="47"/>
        <v>0</v>
      </c>
      <c r="AB210" s="9" t="s">
        <v>376</v>
      </c>
    </row>
    <row r="211" spans="2:28">
      <c r="B211" s="189">
        <f t="shared" si="41"/>
        <v>4</v>
      </c>
      <c r="C211" s="112" t="str">
        <f t="shared" si="42"/>
        <v>ATK</v>
      </c>
      <c r="D211" s="7" t="s">
        <v>273</v>
      </c>
      <c r="E211" s="8" t="s">
        <v>1066</v>
      </c>
      <c r="F211" s="8" t="s">
        <v>1050</v>
      </c>
      <c r="G211" s="113">
        <f t="shared" si="43"/>
        <v>1</v>
      </c>
      <c r="H211" s="113" t="str">
        <f t="shared" si="44"/>
        <v>완료</v>
      </c>
      <c r="I211" s="117" t="s">
        <v>412</v>
      </c>
      <c r="J211" s="9" t="s">
        <v>198</v>
      </c>
      <c r="K211" s="10" t="s">
        <v>199</v>
      </c>
      <c r="L211" s="11" t="str">
        <f t="shared" si="40"/>
        <v>3T</v>
      </c>
      <c r="M211" s="18" t="s">
        <v>583</v>
      </c>
      <c r="N211" s="12" t="s">
        <v>584</v>
      </c>
      <c r="O211" s="18" t="s">
        <v>471</v>
      </c>
      <c r="P211" s="197" t="s">
        <v>472</v>
      </c>
      <c r="Q211" s="120" t="s">
        <v>1069</v>
      </c>
      <c r="R211" s="13" t="s">
        <v>506</v>
      </c>
      <c r="S211" s="7">
        <v>1</v>
      </c>
      <c r="T211" s="14">
        <v>1000</v>
      </c>
      <c r="U211" s="15">
        <f t="shared" si="45"/>
        <v>500</v>
      </c>
      <c r="V211" s="14">
        <v>0</v>
      </c>
      <c r="W211" s="15">
        <f t="shared" si="46"/>
        <v>500</v>
      </c>
      <c r="X211" s="9" t="s">
        <v>495</v>
      </c>
      <c r="Y211" s="7" t="s">
        <v>506</v>
      </c>
      <c r="Z211" s="16">
        <v>0</v>
      </c>
      <c r="AA211" s="17">
        <f t="shared" si="47"/>
        <v>1</v>
      </c>
      <c r="AB211" s="9" t="s">
        <v>141</v>
      </c>
    </row>
    <row r="212" spans="2:28">
      <c r="B212" s="189">
        <f t="shared" si="41"/>
        <v>5</v>
      </c>
      <c r="C212" s="112" t="str">
        <f t="shared" si="42"/>
        <v>ATK</v>
      </c>
      <c r="D212" s="7" t="s">
        <v>475</v>
      </c>
      <c r="E212" s="8" t="s">
        <v>1066</v>
      </c>
      <c r="F212" s="8" t="s">
        <v>914</v>
      </c>
      <c r="G212" s="113">
        <f t="shared" si="43"/>
        <v>2</v>
      </c>
      <c r="H212" s="113" t="str">
        <f t="shared" si="44"/>
        <v>완료</v>
      </c>
      <c r="I212" s="117" t="s">
        <v>398</v>
      </c>
      <c r="J212" s="9" t="s">
        <v>198</v>
      </c>
      <c r="K212" s="10" t="s">
        <v>145</v>
      </c>
      <c r="L212" s="11" t="str">
        <f t="shared" si="40"/>
        <v>3T</v>
      </c>
      <c r="M212" s="18" t="s">
        <v>164</v>
      </c>
      <c r="N212" s="12" t="s">
        <v>477</v>
      </c>
      <c r="O212" s="18" t="s">
        <v>488</v>
      </c>
      <c r="P212" s="197" t="s">
        <v>476</v>
      </c>
      <c r="Q212" s="120" t="s">
        <v>532</v>
      </c>
      <c r="R212" s="13" t="s">
        <v>487</v>
      </c>
      <c r="S212" s="7">
        <v>1</v>
      </c>
      <c r="T212" s="14">
        <v>13000</v>
      </c>
      <c r="U212" s="15">
        <f t="shared" si="45"/>
        <v>6500</v>
      </c>
      <c r="V212" s="14">
        <v>1500</v>
      </c>
      <c r="W212" s="15">
        <f t="shared" si="46"/>
        <v>5000</v>
      </c>
      <c r="X212" s="9" t="s">
        <v>236</v>
      </c>
      <c r="Y212" s="7" t="s">
        <v>237</v>
      </c>
      <c r="Z212" s="16">
        <v>3</v>
      </c>
      <c r="AA212" s="17">
        <f t="shared" si="47"/>
        <v>9</v>
      </c>
      <c r="AB212" s="9" t="s">
        <v>213</v>
      </c>
    </row>
    <row r="213" spans="2:28">
      <c r="B213" s="189">
        <f t="shared" si="41"/>
        <v>4</v>
      </c>
      <c r="C213" s="112" t="str">
        <f t="shared" si="42"/>
        <v>ATK</v>
      </c>
      <c r="D213" s="7" t="s">
        <v>478</v>
      </c>
      <c r="E213" s="8" t="s">
        <v>1066</v>
      </c>
      <c r="F213" s="8" t="s">
        <v>1066</v>
      </c>
      <c r="G213" s="113">
        <f t="shared" si="43"/>
        <v>1</v>
      </c>
      <c r="H213" s="113" t="str">
        <f t="shared" si="44"/>
        <v>완료</v>
      </c>
      <c r="I213" s="117" t="s">
        <v>398</v>
      </c>
      <c r="J213" s="9" t="s">
        <v>419</v>
      </c>
      <c r="K213" s="10" t="s">
        <v>419</v>
      </c>
      <c r="L213" s="11" t="str">
        <f t="shared" si="40"/>
        <v>Ot</v>
      </c>
      <c r="M213" s="18" t="s">
        <v>479</v>
      </c>
      <c r="N213" s="12" t="s">
        <v>480</v>
      </c>
      <c r="O213" s="18" t="s">
        <v>481</v>
      </c>
      <c r="P213" s="197" t="s">
        <v>506</v>
      </c>
      <c r="Q213" s="120" t="s">
        <v>1070</v>
      </c>
      <c r="R213" s="13" t="s">
        <v>484</v>
      </c>
      <c r="S213" s="7">
        <v>1</v>
      </c>
      <c r="T213" s="14">
        <v>3000</v>
      </c>
      <c r="U213" s="15">
        <f t="shared" si="45"/>
        <v>1500</v>
      </c>
      <c r="V213" s="14">
        <v>190</v>
      </c>
      <c r="W213" s="15">
        <f t="shared" si="46"/>
        <v>1310</v>
      </c>
      <c r="X213" s="9" t="s">
        <v>236</v>
      </c>
      <c r="Y213" s="7" t="s">
        <v>483</v>
      </c>
      <c r="Z213" s="16">
        <v>1</v>
      </c>
      <c r="AA213" s="17">
        <f t="shared" si="47"/>
        <v>0</v>
      </c>
      <c r="AB213" s="9" t="s">
        <v>213</v>
      </c>
    </row>
    <row r="214" spans="2:28">
      <c r="B214" s="189">
        <f t="shared" si="41"/>
        <v>4</v>
      </c>
      <c r="C214" s="112" t="str">
        <f t="shared" si="42"/>
        <v>ATK</v>
      </c>
      <c r="D214" s="7" t="s">
        <v>485</v>
      </c>
      <c r="E214" s="8" t="s">
        <v>1066</v>
      </c>
      <c r="F214" s="8" t="s">
        <v>1066</v>
      </c>
      <c r="G214" s="113">
        <f t="shared" si="43"/>
        <v>1</v>
      </c>
      <c r="H214" s="113" t="str">
        <f t="shared" si="44"/>
        <v>완료</v>
      </c>
      <c r="I214" s="117" t="s">
        <v>412</v>
      </c>
      <c r="J214" s="9" t="s">
        <v>392</v>
      </c>
      <c r="K214" s="10" t="s">
        <v>485</v>
      </c>
      <c r="L214" s="11" t="str">
        <f t="shared" si="40"/>
        <v>EE</v>
      </c>
      <c r="M214" s="18" t="s">
        <v>298</v>
      </c>
      <c r="N214" s="12" t="s">
        <v>298</v>
      </c>
      <c r="O214" s="18" t="s">
        <v>1071</v>
      </c>
      <c r="P214" s="197" t="s">
        <v>1072</v>
      </c>
      <c r="Q214" s="120" t="s">
        <v>1073</v>
      </c>
      <c r="R214" s="13" t="s">
        <v>486</v>
      </c>
      <c r="S214" s="7">
        <v>1</v>
      </c>
      <c r="T214" s="14">
        <v>20</v>
      </c>
      <c r="U214" s="15">
        <f t="shared" si="45"/>
        <v>10</v>
      </c>
      <c r="V214" s="14">
        <v>0</v>
      </c>
      <c r="W214" s="15">
        <f t="shared" si="46"/>
        <v>10</v>
      </c>
      <c r="X214" s="9" t="s">
        <v>495</v>
      </c>
      <c r="Y214" s="7" t="s">
        <v>506</v>
      </c>
      <c r="Z214" s="16">
        <v>2</v>
      </c>
      <c r="AA214" s="17">
        <f t="shared" si="47"/>
        <v>0</v>
      </c>
      <c r="AB214" s="9" t="s">
        <v>422</v>
      </c>
    </row>
    <row r="215" spans="2:28">
      <c r="B215" s="189">
        <f t="shared" si="41"/>
        <v>4</v>
      </c>
      <c r="C215" s="112" t="str">
        <f t="shared" si="42"/>
        <v>ATK</v>
      </c>
      <c r="D215" s="7" t="s">
        <v>166</v>
      </c>
      <c r="E215" s="8" t="s">
        <v>1066</v>
      </c>
      <c r="F215" s="8" t="s">
        <v>1050</v>
      </c>
      <c r="G215" s="113">
        <f t="shared" si="43"/>
        <v>1</v>
      </c>
      <c r="H215" s="113" t="str">
        <f t="shared" si="44"/>
        <v>완료</v>
      </c>
      <c r="I215" s="117" t="s">
        <v>412</v>
      </c>
      <c r="J215" s="9" t="s">
        <v>491</v>
      </c>
      <c r="K215" s="10" t="s">
        <v>492</v>
      </c>
      <c r="L215" s="11" t="str">
        <f t="shared" si="40"/>
        <v>5T</v>
      </c>
      <c r="M215" s="18" t="s">
        <v>432</v>
      </c>
      <c r="N215" s="12" t="s">
        <v>423</v>
      </c>
      <c r="O215" s="18" t="s">
        <v>499</v>
      </c>
      <c r="P215" s="197" t="s">
        <v>506</v>
      </c>
      <c r="Q215" s="120" t="s">
        <v>1067</v>
      </c>
      <c r="R215" s="13" t="s">
        <v>506</v>
      </c>
      <c r="S215" s="7">
        <v>1</v>
      </c>
      <c r="T215" s="14">
        <v>300</v>
      </c>
      <c r="U215" s="15">
        <f t="shared" si="45"/>
        <v>150</v>
      </c>
      <c r="V215" s="14">
        <v>1</v>
      </c>
      <c r="W215" s="15">
        <f t="shared" si="46"/>
        <v>149</v>
      </c>
      <c r="X215" s="9" t="s">
        <v>495</v>
      </c>
      <c r="Y215" s="7" t="s">
        <v>506</v>
      </c>
      <c r="Z215" s="16">
        <v>2</v>
      </c>
      <c r="AA215" s="17">
        <f t="shared" si="47"/>
        <v>1</v>
      </c>
      <c r="AB215" s="9" t="s">
        <v>376</v>
      </c>
    </row>
    <row r="216" spans="2:28">
      <c r="B216" s="189">
        <f t="shared" si="41"/>
        <v>4</v>
      </c>
      <c r="C216" s="112" t="str">
        <f t="shared" si="42"/>
        <v>ATK</v>
      </c>
      <c r="D216" s="7" t="s">
        <v>191</v>
      </c>
      <c r="E216" s="8" t="s">
        <v>1066</v>
      </c>
      <c r="F216" s="8" t="s">
        <v>1032</v>
      </c>
      <c r="G216" s="113">
        <f t="shared" si="43"/>
        <v>1</v>
      </c>
      <c r="H216" s="113" t="str">
        <f t="shared" si="44"/>
        <v>완료</v>
      </c>
      <c r="I216" s="117" t="s">
        <v>412</v>
      </c>
      <c r="J216" s="9" t="s">
        <v>392</v>
      </c>
      <c r="K216" s="10" t="s">
        <v>393</v>
      </c>
      <c r="L216" s="11" t="str">
        <f t="shared" si="40"/>
        <v>EE</v>
      </c>
      <c r="M216" s="18" t="s">
        <v>339</v>
      </c>
      <c r="N216" s="12" t="s">
        <v>604</v>
      </c>
      <c r="O216" s="18" t="s">
        <v>196</v>
      </c>
      <c r="P216" s="197" t="s">
        <v>197</v>
      </c>
      <c r="Q216" s="120" t="s">
        <v>1074</v>
      </c>
      <c r="R216" s="13" t="s">
        <v>506</v>
      </c>
      <c r="S216" s="7">
        <v>1</v>
      </c>
      <c r="T216" s="14">
        <v>500</v>
      </c>
      <c r="U216" s="15">
        <f t="shared" si="45"/>
        <v>250</v>
      </c>
      <c r="V216" s="14">
        <v>40</v>
      </c>
      <c r="W216" s="15">
        <f t="shared" si="46"/>
        <v>210</v>
      </c>
      <c r="X216" s="9" t="s">
        <v>495</v>
      </c>
      <c r="Y216" s="7" t="s">
        <v>506</v>
      </c>
      <c r="Z216" s="16">
        <v>1</v>
      </c>
      <c r="AA216" s="17">
        <f t="shared" si="47"/>
        <v>2</v>
      </c>
      <c r="AB216" s="9" t="s">
        <v>494</v>
      </c>
    </row>
    <row r="217" spans="2:28">
      <c r="B217" s="189">
        <f t="shared" si="41"/>
        <v>5</v>
      </c>
      <c r="C217" s="112" t="str">
        <f t="shared" si="42"/>
        <v>ATK</v>
      </c>
      <c r="D217" s="7" t="s">
        <v>257</v>
      </c>
      <c r="E217" s="8" t="s">
        <v>1075</v>
      </c>
      <c r="F217" s="8" t="s">
        <v>914</v>
      </c>
      <c r="G217" s="113">
        <f t="shared" si="43"/>
        <v>2</v>
      </c>
      <c r="H217" s="113" t="str">
        <f t="shared" si="44"/>
        <v>완료</v>
      </c>
      <c r="I217" s="117" t="s">
        <v>398</v>
      </c>
      <c r="J217" s="9" t="s">
        <v>381</v>
      </c>
      <c r="K217" s="10" t="s">
        <v>170</v>
      </c>
      <c r="L217" s="11" t="str">
        <f t="shared" si="40"/>
        <v>2T</v>
      </c>
      <c r="M217" s="18" t="s">
        <v>423</v>
      </c>
      <c r="N217" s="12" t="s">
        <v>449</v>
      </c>
      <c r="O217" s="18" t="s">
        <v>448</v>
      </c>
      <c r="P217" s="197" t="s">
        <v>506</v>
      </c>
      <c r="Q217" s="120" t="s">
        <v>1076</v>
      </c>
      <c r="R217" s="13" t="s">
        <v>506</v>
      </c>
      <c r="S217" s="7">
        <v>1</v>
      </c>
      <c r="T217" s="14">
        <v>5000</v>
      </c>
      <c r="U217" s="15">
        <f t="shared" si="45"/>
        <v>2500</v>
      </c>
      <c r="V217" s="14">
        <v>1400</v>
      </c>
      <c r="W217" s="15">
        <f t="shared" si="46"/>
        <v>1100</v>
      </c>
      <c r="X217" s="9" t="s">
        <v>236</v>
      </c>
      <c r="Y217" s="7" t="s">
        <v>237</v>
      </c>
      <c r="Z217" s="16">
        <v>1</v>
      </c>
      <c r="AA217" s="17">
        <f t="shared" si="47"/>
        <v>12</v>
      </c>
      <c r="AB217" s="9" t="s">
        <v>213</v>
      </c>
    </row>
    <row r="218" spans="2:28">
      <c r="B218" s="189">
        <f t="shared" si="41"/>
        <v>3</v>
      </c>
      <c r="C218" s="112" t="str">
        <f t="shared" si="42"/>
        <v>ATK</v>
      </c>
      <c r="D218" s="7" t="s">
        <v>325</v>
      </c>
      <c r="E218" s="8" t="s">
        <v>1075</v>
      </c>
      <c r="F218" s="8" t="s">
        <v>1075</v>
      </c>
      <c r="G218" s="113">
        <f t="shared" si="43"/>
        <v>1</v>
      </c>
      <c r="H218" s="113" t="str">
        <f t="shared" si="44"/>
        <v>Other</v>
      </c>
      <c r="I218" s="117" t="s">
        <v>419</v>
      </c>
      <c r="J218" s="9" t="s">
        <v>454</v>
      </c>
      <c r="K218" s="10" t="s">
        <v>454</v>
      </c>
      <c r="L218" s="11" t="str">
        <f t="shared" si="40"/>
        <v>인사</v>
      </c>
      <c r="M218" s="18" t="s">
        <v>454</v>
      </c>
      <c r="N218" s="12" t="s">
        <v>455</v>
      </c>
      <c r="O218" s="18" t="s">
        <v>456</v>
      </c>
      <c r="P218" s="197" t="s">
        <v>506</v>
      </c>
      <c r="Q218" s="120" t="s">
        <v>1077</v>
      </c>
      <c r="R218" s="13" t="s">
        <v>506</v>
      </c>
      <c r="S218" s="7">
        <v>1</v>
      </c>
      <c r="T218" s="14">
        <v>0</v>
      </c>
      <c r="U218" s="15">
        <f t="shared" si="45"/>
        <v>0</v>
      </c>
      <c r="V218" s="14">
        <v>0</v>
      </c>
      <c r="W218" s="15">
        <f t="shared" si="46"/>
        <v>0</v>
      </c>
      <c r="X218" s="9" t="s">
        <v>495</v>
      </c>
      <c r="Y218" s="7" t="s">
        <v>506</v>
      </c>
      <c r="Z218" s="16">
        <v>3</v>
      </c>
      <c r="AA218" s="17">
        <f t="shared" si="47"/>
        <v>0</v>
      </c>
      <c r="AB218" s="9" t="s">
        <v>213</v>
      </c>
    </row>
    <row r="219" spans="2:28">
      <c r="B219" s="189">
        <f t="shared" si="41"/>
        <v>3</v>
      </c>
      <c r="C219" s="112" t="str">
        <f t="shared" si="42"/>
        <v>ATK</v>
      </c>
      <c r="D219" s="7" t="s">
        <v>325</v>
      </c>
      <c r="E219" s="8" t="s">
        <v>1075</v>
      </c>
      <c r="F219" s="8" t="s">
        <v>1075</v>
      </c>
      <c r="G219" s="113">
        <f t="shared" si="43"/>
        <v>1</v>
      </c>
      <c r="H219" s="113" t="str">
        <f t="shared" si="44"/>
        <v>완료</v>
      </c>
      <c r="I219" s="117" t="s">
        <v>412</v>
      </c>
      <c r="J219" s="9" t="s">
        <v>454</v>
      </c>
      <c r="K219" s="10" t="s">
        <v>454</v>
      </c>
      <c r="L219" s="11" t="str">
        <f t="shared" si="40"/>
        <v>인사</v>
      </c>
      <c r="M219" s="18" t="s">
        <v>454</v>
      </c>
      <c r="N219" s="12" t="s">
        <v>455</v>
      </c>
      <c r="O219" s="18" t="s">
        <v>456</v>
      </c>
      <c r="P219" s="197" t="s">
        <v>506</v>
      </c>
      <c r="Q219" s="120" t="s">
        <v>1077</v>
      </c>
      <c r="R219" s="13" t="s">
        <v>506</v>
      </c>
      <c r="S219" s="7">
        <v>1</v>
      </c>
      <c r="T219" s="14">
        <v>3000</v>
      </c>
      <c r="U219" s="15">
        <f t="shared" si="45"/>
        <v>1500</v>
      </c>
      <c r="V219" s="14">
        <v>0</v>
      </c>
      <c r="W219" s="15">
        <f t="shared" si="46"/>
        <v>1500</v>
      </c>
      <c r="X219" s="9" t="s">
        <v>495</v>
      </c>
      <c r="Y219" s="7" t="s">
        <v>506</v>
      </c>
      <c r="Z219" s="16">
        <v>3</v>
      </c>
      <c r="AA219" s="17">
        <f t="shared" si="47"/>
        <v>0</v>
      </c>
      <c r="AB219" s="9" t="s">
        <v>376</v>
      </c>
    </row>
    <row r="220" spans="2:28">
      <c r="B220" s="189">
        <f t="shared" si="41"/>
        <v>4</v>
      </c>
      <c r="C220" s="112" t="str">
        <f t="shared" si="42"/>
        <v>ATK</v>
      </c>
      <c r="D220" s="7" t="s">
        <v>384</v>
      </c>
      <c r="E220" s="8" t="s">
        <v>1075</v>
      </c>
      <c r="F220" s="8" t="s">
        <v>1066</v>
      </c>
      <c r="G220" s="113">
        <f t="shared" si="43"/>
        <v>1</v>
      </c>
      <c r="H220" s="113" t="str">
        <f t="shared" si="44"/>
        <v>완료</v>
      </c>
      <c r="I220" s="117" t="s">
        <v>412</v>
      </c>
      <c r="J220" s="9" t="s">
        <v>392</v>
      </c>
      <c r="K220" s="10" t="s">
        <v>393</v>
      </c>
      <c r="L220" s="11" t="str">
        <f t="shared" si="40"/>
        <v>EE</v>
      </c>
      <c r="M220" s="18" t="s">
        <v>385</v>
      </c>
      <c r="N220" s="12" t="s">
        <v>1078</v>
      </c>
      <c r="O220" s="18" t="s">
        <v>474</v>
      </c>
      <c r="P220" s="197" t="s">
        <v>473</v>
      </c>
      <c r="Q220" s="120" t="s">
        <v>1079</v>
      </c>
      <c r="R220" s="13" t="s">
        <v>506</v>
      </c>
      <c r="S220" s="7">
        <v>1</v>
      </c>
      <c r="T220" s="14">
        <v>700</v>
      </c>
      <c r="U220" s="15">
        <f t="shared" si="45"/>
        <v>350</v>
      </c>
      <c r="V220" s="14">
        <v>0</v>
      </c>
      <c r="W220" s="15">
        <f t="shared" si="46"/>
        <v>350</v>
      </c>
      <c r="X220" s="9" t="s">
        <v>495</v>
      </c>
      <c r="Y220" s="7" t="s">
        <v>506</v>
      </c>
      <c r="Z220" s="16">
        <v>5</v>
      </c>
      <c r="AA220" s="17">
        <f t="shared" si="47"/>
        <v>3</v>
      </c>
      <c r="AB220" s="9" t="s">
        <v>141</v>
      </c>
    </row>
    <row r="221" spans="2:28">
      <c r="B221" s="189">
        <f t="shared" si="41"/>
        <v>3</v>
      </c>
      <c r="C221" s="112" t="str">
        <f t="shared" si="42"/>
        <v>ATK</v>
      </c>
      <c r="D221" s="7" t="s">
        <v>418</v>
      </c>
      <c r="E221" s="8" t="s">
        <v>1075</v>
      </c>
      <c r="F221" s="8" t="s">
        <v>1075</v>
      </c>
      <c r="G221" s="113">
        <f t="shared" si="43"/>
        <v>1</v>
      </c>
      <c r="H221" s="113" t="str">
        <f t="shared" si="44"/>
        <v>Other</v>
      </c>
      <c r="I221" s="117" t="s">
        <v>419</v>
      </c>
      <c r="J221" s="9" t="s">
        <v>419</v>
      </c>
      <c r="K221" s="10" t="s">
        <v>419</v>
      </c>
      <c r="L221" s="11" t="str">
        <f t="shared" si="40"/>
        <v>Ot</v>
      </c>
      <c r="M221" s="18" t="s">
        <v>420</v>
      </c>
      <c r="N221" s="12" t="s">
        <v>180</v>
      </c>
      <c r="O221" s="18" t="s">
        <v>421</v>
      </c>
      <c r="P221" s="197" t="s">
        <v>423</v>
      </c>
      <c r="Q221" s="120" t="s">
        <v>1080</v>
      </c>
      <c r="R221" s="13" t="s">
        <v>506</v>
      </c>
      <c r="S221" s="7">
        <v>1</v>
      </c>
      <c r="T221" s="14">
        <v>0</v>
      </c>
      <c r="U221" s="15">
        <f t="shared" si="45"/>
        <v>0</v>
      </c>
      <c r="V221" s="14">
        <v>0</v>
      </c>
      <c r="W221" s="15">
        <f t="shared" si="46"/>
        <v>0</v>
      </c>
      <c r="X221" s="9" t="s">
        <v>495</v>
      </c>
      <c r="Y221" s="7" t="s">
        <v>506</v>
      </c>
      <c r="Z221" s="16">
        <v>8</v>
      </c>
      <c r="AA221" s="17">
        <f t="shared" si="47"/>
        <v>0</v>
      </c>
      <c r="AB221" s="9" t="s">
        <v>422</v>
      </c>
    </row>
    <row r="222" spans="2:28">
      <c r="B222" s="189">
        <f t="shared" si="41"/>
        <v>3</v>
      </c>
      <c r="C222" s="112" t="str">
        <f t="shared" si="42"/>
        <v>ATK</v>
      </c>
      <c r="D222" s="7" t="s">
        <v>437</v>
      </c>
      <c r="E222" s="8" t="s">
        <v>1081</v>
      </c>
      <c r="F222" s="8" t="s">
        <v>1081</v>
      </c>
      <c r="G222" s="113">
        <f t="shared" si="43"/>
        <v>1</v>
      </c>
      <c r="H222" s="113" t="str">
        <f t="shared" si="44"/>
        <v>완료</v>
      </c>
      <c r="I222" s="117" t="s">
        <v>412</v>
      </c>
      <c r="J222" s="9" t="s">
        <v>419</v>
      </c>
      <c r="K222" s="10" t="s">
        <v>419</v>
      </c>
      <c r="L222" s="11" t="str">
        <f t="shared" si="40"/>
        <v>Ot</v>
      </c>
      <c r="M222" s="18" t="s">
        <v>438</v>
      </c>
      <c r="N222" s="12" t="s">
        <v>506</v>
      </c>
      <c r="O222" s="18" t="s">
        <v>157</v>
      </c>
      <c r="P222" s="197" t="s">
        <v>439</v>
      </c>
      <c r="Q222" s="120" t="s">
        <v>1082</v>
      </c>
      <c r="R222" s="13" t="s">
        <v>506</v>
      </c>
      <c r="S222" s="7">
        <v>1</v>
      </c>
      <c r="T222" s="14">
        <v>600</v>
      </c>
      <c r="U222" s="15">
        <f t="shared" si="45"/>
        <v>300</v>
      </c>
      <c r="V222" s="14">
        <v>40</v>
      </c>
      <c r="W222" s="15">
        <f t="shared" si="46"/>
        <v>260</v>
      </c>
      <c r="X222" s="9" t="s">
        <v>495</v>
      </c>
      <c r="Y222" s="7" t="s">
        <v>506</v>
      </c>
      <c r="Z222" s="16">
        <v>2</v>
      </c>
      <c r="AA222" s="17">
        <f t="shared" si="47"/>
        <v>0</v>
      </c>
      <c r="AB222" s="9" t="s">
        <v>213</v>
      </c>
    </row>
    <row r="223" spans="2:28">
      <c r="B223" s="189">
        <f t="shared" si="41"/>
        <v>3</v>
      </c>
      <c r="C223" s="112" t="str">
        <f t="shared" si="42"/>
        <v>ATK</v>
      </c>
      <c r="D223" s="7" t="s">
        <v>415</v>
      </c>
      <c r="E223" s="8" t="s">
        <v>1081</v>
      </c>
      <c r="F223" s="8" t="s">
        <v>1081</v>
      </c>
      <c r="G223" s="113">
        <f t="shared" si="43"/>
        <v>1</v>
      </c>
      <c r="H223" s="113" t="str">
        <f t="shared" si="44"/>
        <v>완료</v>
      </c>
      <c r="I223" s="117" t="s">
        <v>412</v>
      </c>
      <c r="J223" s="9" t="s">
        <v>491</v>
      </c>
      <c r="K223" s="10" t="s">
        <v>492</v>
      </c>
      <c r="L223" s="11" t="str">
        <f t="shared" si="40"/>
        <v>5T</v>
      </c>
      <c r="M223" s="18" t="s">
        <v>432</v>
      </c>
      <c r="N223" s="12" t="s">
        <v>423</v>
      </c>
      <c r="O223" s="18" t="s">
        <v>427</v>
      </c>
      <c r="P223" s="197" t="s">
        <v>440</v>
      </c>
      <c r="Q223" s="120" t="s">
        <v>993</v>
      </c>
      <c r="R223" s="13" t="s">
        <v>506</v>
      </c>
      <c r="S223" s="7">
        <v>1</v>
      </c>
      <c r="T223" s="14">
        <v>500</v>
      </c>
      <c r="U223" s="15">
        <f t="shared" si="45"/>
        <v>250</v>
      </c>
      <c r="V223" s="14">
        <v>0</v>
      </c>
      <c r="W223" s="15">
        <f t="shared" si="46"/>
        <v>250</v>
      </c>
      <c r="X223" s="9" t="s">
        <v>495</v>
      </c>
      <c r="Y223" s="7" t="s">
        <v>506</v>
      </c>
      <c r="Z223" s="16">
        <v>4</v>
      </c>
      <c r="AA223" s="17">
        <f t="shared" si="47"/>
        <v>0</v>
      </c>
      <c r="AB223" s="9" t="s">
        <v>376</v>
      </c>
    </row>
    <row r="224" spans="2:28">
      <c r="B224" s="189">
        <f t="shared" si="41"/>
        <v>3</v>
      </c>
      <c r="C224" s="112" t="str">
        <f t="shared" si="42"/>
        <v>ATK</v>
      </c>
      <c r="D224" s="7" t="s">
        <v>418</v>
      </c>
      <c r="E224" s="8" t="s">
        <v>1081</v>
      </c>
      <c r="F224" s="8" t="s">
        <v>1081</v>
      </c>
      <c r="G224" s="113">
        <f t="shared" si="43"/>
        <v>1</v>
      </c>
      <c r="H224" s="113" t="str">
        <f t="shared" si="44"/>
        <v>Other</v>
      </c>
      <c r="I224" s="117" t="s">
        <v>419</v>
      </c>
      <c r="J224" s="9" t="s">
        <v>419</v>
      </c>
      <c r="K224" s="10" t="s">
        <v>419</v>
      </c>
      <c r="L224" s="11" t="str">
        <f t="shared" si="40"/>
        <v>Ot</v>
      </c>
      <c r="M224" s="18" t="s">
        <v>420</v>
      </c>
      <c r="N224" s="12" t="s">
        <v>180</v>
      </c>
      <c r="O224" s="18" t="s">
        <v>421</v>
      </c>
      <c r="P224" s="197" t="s">
        <v>423</v>
      </c>
      <c r="Q224" s="120" t="s">
        <v>1080</v>
      </c>
      <c r="R224" s="13" t="s">
        <v>506</v>
      </c>
      <c r="S224" s="7">
        <v>1</v>
      </c>
      <c r="T224" s="14">
        <v>0</v>
      </c>
      <c r="U224" s="15">
        <f t="shared" si="45"/>
        <v>0</v>
      </c>
      <c r="V224" s="14">
        <v>0</v>
      </c>
      <c r="W224" s="15">
        <f t="shared" si="46"/>
        <v>0</v>
      </c>
      <c r="X224" s="9" t="s">
        <v>495</v>
      </c>
      <c r="Y224" s="7" t="s">
        <v>506</v>
      </c>
      <c r="Z224" s="16">
        <v>8</v>
      </c>
      <c r="AA224" s="17">
        <f t="shared" si="47"/>
        <v>0</v>
      </c>
      <c r="AB224" s="9" t="s">
        <v>422</v>
      </c>
    </row>
    <row r="225" spans="2:28">
      <c r="B225" s="189">
        <f t="shared" si="41"/>
        <v>3</v>
      </c>
      <c r="C225" s="112" t="str">
        <f t="shared" si="42"/>
        <v>ATK</v>
      </c>
      <c r="D225" s="7" t="s">
        <v>418</v>
      </c>
      <c r="E225" s="8" t="s">
        <v>1081</v>
      </c>
      <c r="F225" s="8" t="s">
        <v>1081</v>
      </c>
      <c r="G225" s="113">
        <f t="shared" si="43"/>
        <v>1</v>
      </c>
      <c r="H225" s="113" t="str">
        <f t="shared" si="44"/>
        <v>Other</v>
      </c>
      <c r="I225" s="117" t="s">
        <v>419</v>
      </c>
      <c r="J225" s="9" t="s">
        <v>419</v>
      </c>
      <c r="K225" s="10" t="s">
        <v>419</v>
      </c>
      <c r="L225" s="11" t="str">
        <f t="shared" si="40"/>
        <v>Ot</v>
      </c>
      <c r="M225" s="18" t="s">
        <v>420</v>
      </c>
      <c r="N225" s="12" t="s">
        <v>180</v>
      </c>
      <c r="O225" s="18" t="s">
        <v>421</v>
      </c>
      <c r="P225" s="197" t="s">
        <v>423</v>
      </c>
      <c r="Q225" s="120" t="s">
        <v>1080</v>
      </c>
      <c r="R225" s="13" t="s">
        <v>506</v>
      </c>
      <c r="S225" s="7">
        <v>1</v>
      </c>
      <c r="T225" s="14">
        <v>0</v>
      </c>
      <c r="U225" s="15">
        <f t="shared" si="45"/>
        <v>0</v>
      </c>
      <c r="V225" s="14">
        <v>0</v>
      </c>
      <c r="W225" s="15">
        <f t="shared" si="46"/>
        <v>0</v>
      </c>
      <c r="X225" s="9" t="s">
        <v>495</v>
      </c>
      <c r="Y225" s="7" t="s">
        <v>506</v>
      </c>
      <c r="Z225" s="16">
        <v>8</v>
      </c>
      <c r="AA225" s="17">
        <f t="shared" si="47"/>
        <v>0</v>
      </c>
      <c r="AB225" s="9" t="s">
        <v>494</v>
      </c>
    </row>
    <row r="226" spans="2:28">
      <c r="B226" s="189">
        <f t="shared" si="41"/>
        <v>3</v>
      </c>
      <c r="C226" s="112" t="str">
        <f t="shared" si="42"/>
        <v>ATK</v>
      </c>
      <c r="D226" s="7" t="s">
        <v>238</v>
      </c>
      <c r="E226" s="8" t="s">
        <v>1081</v>
      </c>
      <c r="F226" s="8" t="s">
        <v>1081</v>
      </c>
      <c r="G226" s="113">
        <f t="shared" si="43"/>
        <v>1</v>
      </c>
      <c r="H226" s="113" t="str">
        <f t="shared" si="44"/>
        <v>완료</v>
      </c>
      <c r="I226" s="117" t="s">
        <v>412</v>
      </c>
      <c r="J226" s="9" t="s">
        <v>392</v>
      </c>
      <c r="K226" s="10" t="s">
        <v>485</v>
      </c>
      <c r="L226" s="11" t="str">
        <f t="shared" si="40"/>
        <v>EE</v>
      </c>
      <c r="M226" s="18" t="s">
        <v>231</v>
      </c>
      <c r="N226" s="12" t="s">
        <v>445</v>
      </c>
      <c r="O226" s="18" t="s">
        <v>446</v>
      </c>
      <c r="P226" s="197" t="s">
        <v>446</v>
      </c>
      <c r="Q226" s="120" t="s">
        <v>1083</v>
      </c>
      <c r="R226" s="13" t="s">
        <v>506</v>
      </c>
      <c r="S226" s="7">
        <v>1</v>
      </c>
      <c r="T226" s="14">
        <v>1000</v>
      </c>
      <c r="U226" s="15">
        <f t="shared" si="45"/>
        <v>500</v>
      </c>
      <c r="V226" s="14">
        <v>30</v>
      </c>
      <c r="W226" s="15">
        <f t="shared" si="46"/>
        <v>470</v>
      </c>
      <c r="X226" s="9" t="s">
        <v>495</v>
      </c>
      <c r="Y226" s="7" t="s">
        <v>506</v>
      </c>
      <c r="Z226" s="16">
        <v>2</v>
      </c>
      <c r="AA226" s="17">
        <f t="shared" si="47"/>
        <v>0</v>
      </c>
      <c r="AB226" s="9" t="s">
        <v>376</v>
      </c>
    </row>
    <row r="227" spans="2:28">
      <c r="B227" s="189">
        <f t="shared" si="41"/>
        <v>3</v>
      </c>
      <c r="C227" s="112" t="str">
        <f t="shared" si="42"/>
        <v>ATK</v>
      </c>
      <c r="D227" s="7" t="s">
        <v>238</v>
      </c>
      <c r="E227" s="8" t="s">
        <v>1081</v>
      </c>
      <c r="F227" s="8" t="s">
        <v>1075</v>
      </c>
      <c r="G227" s="113">
        <f t="shared" si="43"/>
        <v>1</v>
      </c>
      <c r="H227" s="113" t="str">
        <f t="shared" si="44"/>
        <v>완료</v>
      </c>
      <c r="I227" s="117" t="s">
        <v>412</v>
      </c>
      <c r="J227" s="9" t="s">
        <v>392</v>
      </c>
      <c r="K227" s="10" t="s">
        <v>485</v>
      </c>
      <c r="L227" s="11" t="str">
        <f t="shared" si="40"/>
        <v>EE</v>
      </c>
      <c r="M227" s="18" t="s">
        <v>231</v>
      </c>
      <c r="N227" s="12" t="s">
        <v>211</v>
      </c>
      <c r="O227" s="18" t="s">
        <v>447</v>
      </c>
      <c r="P227" s="197" t="s">
        <v>447</v>
      </c>
      <c r="Q227" s="120" t="s">
        <v>532</v>
      </c>
      <c r="R227" s="13" t="s">
        <v>506</v>
      </c>
      <c r="S227" s="7">
        <v>2</v>
      </c>
      <c r="T227" s="14">
        <v>1000</v>
      </c>
      <c r="U227" s="15">
        <f t="shared" si="45"/>
        <v>1000</v>
      </c>
      <c r="V227" s="14">
        <v>90</v>
      </c>
      <c r="W227" s="15">
        <f t="shared" si="46"/>
        <v>910</v>
      </c>
      <c r="X227" s="9" t="s">
        <v>495</v>
      </c>
      <c r="Y227" s="7" t="s">
        <v>506</v>
      </c>
      <c r="Z227" s="16">
        <v>2</v>
      </c>
      <c r="AA227" s="17">
        <f t="shared" si="47"/>
        <v>1</v>
      </c>
      <c r="AB227" s="9" t="s">
        <v>376</v>
      </c>
    </row>
    <row r="228" spans="2:28" ht="60">
      <c r="B228" s="189">
        <f t="shared" si="41"/>
        <v>4</v>
      </c>
      <c r="C228" s="112" t="str">
        <f t="shared" si="42"/>
        <v>ATK</v>
      </c>
      <c r="D228" s="7" t="s">
        <v>450</v>
      </c>
      <c r="E228" s="8" t="s">
        <v>1081</v>
      </c>
      <c r="F228" s="8" t="s">
        <v>1032</v>
      </c>
      <c r="G228" s="113">
        <f t="shared" si="43"/>
        <v>1</v>
      </c>
      <c r="H228" s="113" t="str">
        <f t="shared" si="44"/>
        <v>수리불가</v>
      </c>
      <c r="I228" s="117" t="s">
        <v>397</v>
      </c>
      <c r="J228" s="9" t="s">
        <v>352</v>
      </c>
      <c r="K228" s="10" t="s">
        <v>352</v>
      </c>
      <c r="L228" s="11" t="str">
        <f t="shared" si="40"/>
        <v>K5</v>
      </c>
      <c r="M228" s="18" t="s">
        <v>377</v>
      </c>
      <c r="N228" s="12" t="s">
        <v>451</v>
      </c>
      <c r="O228" s="18" t="s">
        <v>453</v>
      </c>
      <c r="P228" s="197" t="s">
        <v>452</v>
      </c>
      <c r="Q228" s="120" t="s">
        <v>1084</v>
      </c>
      <c r="R228" s="13" t="s">
        <v>506</v>
      </c>
      <c r="S228" s="7">
        <v>1</v>
      </c>
      <c r="T228" s="14">
        <v>12000</v>
      </c>
      <c r="U228" s="15">
        <f t="shared" si="45"/>
        <v>6000</v>
      </c>
      <c r="V228" s="14">
        <v>0</v>
      </c>
      <c r="W228" s="15">
        <f t="shared" si="46"/>
        <v>6000</v>
      </c>
      <c r="X228" s="9" t="s">
        <v>495</v>
      </c>
      <c r="Y228" s="7" t="s">
        <v>506</v>
      </c>
      <c r="Z228" s="16">
        <v>0</v>
      </c>
      <c r="AA228" s="17">
        <f t="shared" si="47"/>
        <v>6</v>
      </c>
      <c r="AB228" s="9" t="s">
        <v>213</v>
      </c>
    </row>
    <row r="229" spans="2:28">
      <c r="B229" s="189">
        <f t="shared" si="41"/>
        <v>4</v>
      </c>
      <c r="C229" s="112" t="str">
        <f t="shared" si="42"/>
        <v>ATK</v>
      </c>
      <c r="D229" s="7" t="s">
        <v>489</v>
      </c>
      <c r="E229" s="8" t="s">
        <v>1081</v>
      </c>
      <c r="F229" s="8" t="s">
        <v>1050</v>
      </c>
      <c r="G229" s="113">
        <f t="shared" si="43"/>
        <v>1</v>
      </c>
      <c r="H229" s="113" t="str">
        <f t="shared" si="44"/>
        <v>완료</v>
      </c>
      <c r="I229" s="117" t="s">
        <v>412</v>
      </c>
      <c r="J229" s="9" t="s">
        <v>491</v>
      </c>
      <c r="K229" s="10" t="s">
        <v>492</v>
      </c>
      <c r="L229" s="11" t="str">
        <f t="shared" si="40"/>
        <v>5T</v>
      </c>
      <c r="M229" s="18" t="s">
        <v>371</v>
      </c>
      <c r="N229" s="12" t="s">
        <v>357</v>
      </c>
      <c r="O229" s="18" t="s">
        <v>493</v>
      </c>
      <c r="P229" s="197" t="s">
        <v>372</v>
      </c>
      <c r="Q229" s="120" t="s">
        <v>1085</v>
      </c>
      <c r="R229" s="13" t="s">
        <v>497</v>
      </c>
      <c r="S229" s="7">
        <v>1</v>
      </c>
      <c r="T229" s="14">
        <v>1500</v>
      </c>
      <c r="U229" s="15">
        <f t="shared" si="45"/>
        <v>750</v>
      </c>
      <c r="V229" s="14">
        <v>0</v>
      </c>
      <c r="W229" s="15">
        <f t="shared" si="46"/>
        <v>750</v>
      </c>
      <c r="X229" s="9" t="s">
        <v>495</v>
      </c>
      <c r="Y229" s="7" t="s">
        <v>506</v>
      </c>
      <c r="Z229" s="16">
        <v>3</v>
      </c>
      <c r="AA229" s="17">
        <f t="shared" si="47"/>
        <v>5</v>
      </c>
      <c r="AB229" s="9" t="s">
        <v>494</v>
      </c>
    </row>
    <row r="230" spans="2:28">
      <c r="B230" s="189">
        <f t="shared" si="41"/>
        <v>4</v>
      </c>
      <c r="C230" s="112" t="str">
        <f t="shared" si="42"/>
        <v>ATK</v>
      </c>
      <c r="D230" s="7" t="s">
        <v>496</v>
      </c>
      <c r="E230" s="8" t="s">
        <v>1081</v>
      </c>
      <c r="F230" s="8" t="s">
        <v>1050</v>
      </c>
      <c r="G230" s="113">
        <f t="shared" si="43"/>
        <v>1</v>
      </c>
      <c r="H230" s="113" t="str">
        <f t="shared" si="44"/>
        <v>완료</v>
      </c>
      <c r="I230" s="117" t="s">
        <v>412</v>
      </c>
      <c r="J230" s="9" t="s">
        <v>491</v>
      </c>
      <c r="K230" s="10" t="s">
        <v>492</v>
      </c>
      <c r="L230" s="11" t="str">
        <f t="shared" si="40"/>
        <v>5T</v>
      </c>
      <c r="M230" s="18" t="s">
        <v>371</v>
      </c>
      <c r="N230" s="12" t="s">
        <v>357</v>
      </c>
      <c r="O230" s="18" t="s">
        <v>493</v>
      </c>
      <c r="P230" s="197" t="s">
        <v>372</v>
      </c>
      <c r="Q230" s="120" t="s">
        <v>1086</v>
      </c>
      <c r="R230" s="13" t="s">
        <v>498</v>
      </c>
      <c r="S230" s="7">
        <v>1</v>
      </c>
      <c r="T230" s="14">
        <v>1500</v>
      </c>
      <c r="U230" s="15">
        <f t="shared" si="45"/>
        <v>750</v>
      </c>
      <c r="V230" s="14">
        <v>0</v>
      </c>
      <c r="W230" s="15">
        <f t="shared" si="46"/>
        <v>750</v>
      </c>
      <c r="X230" s="9" t="s">
        <v>495</v>
      </c>
      <c r="Y230" s="7" t="s">
        <v>506</v>
      </c>
      <c r="Z230" s="16">
        <v>3</v>
      </c>
      <c r="AA230" s="17">
        <f t="shared" si="47"/>
        <v>5</v>
      </c>
      <c r="AB230" s="9" t="s">
        <v>494</v>
      </c>
    </row>
    <row r="231" spans="2:28">
      <c r="B231" s="189">
        <f t="shared" si="41"/>
        <v>4</v>
      </c>
      <c r="C231" s="112" t="str">
        <f t="shared" si="42"/>
        <v>ATK</v>
      </c>
      <c r="D231" s="7" t="s">
        <v>191</v>
      </c>
      <c r="E231" s="8" t="s">
        <v>1081</v>
      </c>
      <c r="F231" s="8" t="s">
        <v>1032</v>
      </c>
      <c r="G231" s="113">
        <f t="shared" si="43"/>
        <v>1</v>
      </c>
      <c r="H231" s="113" t="str">
        <f t="shared" si="44"/>
        <v>완료</v>
      </c>
      <c r="I231" s="117" t="s">
        <v>412</v>
      </c>
      <c r="J231" s="9" t="s">
        <v>392</v>
      </c>
      <c r="K231" s="10" t="s">
        <v>393</v>
      </c>
      <c r="L231" s="11" t="str">
        <f t="shared" si="40"/>
        <v>EE</v>
      </c>
      <c r="M231" s="18" t="s">
        <v>339</v>
      </c>
      <c r="N231" s="12" t="s">
        <v>1087</v>
      </c>
      <c r="O231" s="18" t="s">
        <v>1088</v>
      </c>
      <c r="P231" s="197" t="s">
        <v>197</v>
      </c>
      <c r="Q231" s="120" t="s">
        <v>532</v>
      </c>
      <c r="R231" s="13" t="s">
        <v>506</v>
      </c>
      <c r="S231" s="7">
        <v>1</v>
      </c>
      <c r="T231" s="14">
        <v>500</v>
      </c>
      <c r="U231" s="15">
        <f t="shared" si="45"/>
        <v>250</v>
      </c>
      <c r="V231" s="14">
        <v>200</v>
      </c>
      <c r="W231" s="15">
        <f t="shared" si="46"/>
        <v>50</v>
      </c>
      <c r="X231" s="9" t="s">
        <v>495</v>
      </c>
      <c r="Y231" s="7" t="s">
        <v>506</v>
      </c>
      <c r="Z231" s="16">
        <v>2</v>
      </c>
      <c r="AA231" s="17">
        <f t="shared" si="47"/>
        <v>6</v>
      </c>
      <c r="AB231" s="9" t="s">
        <v>494</v>
      </c>
    </row>
    <row r="232" spans="2:28">
      <c r="B232" s="189">
        <f t="shared" si="41"/>
        <v>5</v>
      </c>
      <c r="C232" s="112" t="str">
        <f t="shared" si="42"/>
        <v>ATK</v>
      </c>
      <c r="D232" s="7" t="s">
        <v>273</v>
      </c>
      <c r="E232" s="8" t="s">
        <v>1081</v>
      </c>
      <c r="F232" s="8" t="s">
        <v>873</v>
      </c>
      <c r="G232" s="113">
        <f t="shared" si="43"/>
        <v>2</v>
      </c>
      <c r="H232" s="113" t="str">
        <f t="shared" si="44"/>
        <v>완료</v>
      </c>
      <c r="I232" s="117" t="s">
        <v>412</v>
      </c>
      <c r="J232" s="9" t="s">
        <v>198</v>
      </c>
      <c r="K232" s="10" t="s">
        <v>186</v>
      </c>
      <c r="L232" s="11" t="str">
        <f t="shared" si="40"/>
        <v>3T</v>
      </c>
      <c r="M232" s="18" t="s">
        <v>182</v>
      </c>
      <c r="N232" s="12" t="s">
        <v>278</v>
      </c>
      <c r="O232" s="18" t="s">
        <v>182</v>
      </c>
      <c r="P232" s="197" t="s">
        <v>506</v>
      </c>
      <c r="Q232" s="120" t="s">
        <v>1089</v>
      </c>
      <c r="R232" s="13" t="s">
        <v>506</v>
      </c>
      <c r="S232" s="7">
        <v>1</v>
      </c>
      <c r="T232" s="14">
        <v>910</v>
      </c>
      <c r="U232" s="15">
        <f t="shared" si="45"/>
        <v>455</v>
      </c>
      <c r="V232" s="14">
        <v>0</v>
      </c>
      <c r="W232" s="15">
        <f t="shared" si="46"/>
        <v>455</v>
      </c>
      <c r="X232" s="9" t="s">
        <v>495</v>
      </c>
      <c r="Y232" s="7" t="s">
        <v>506</v>
      </c>
      <c r="Z232" s="16">
        <v>3</v>
      </c>
      <c r="AA232" s="17">
        <f t="shared" si="47"/>
        <v>15</v>
      </c>
      <c r="AB232" s="9" t="s">
        <v>494</v>
      </c>
    </row>
    <row r="233" spans="2:28">
      <c r="B233" s="189">
        <f t="shared" si="41"/>
        <v>3</v>
      </c>
      <c r="C233" s="112" t="str">
        <f t="shared" si="42"/>
        <v>ATK</v>
      </c>
      <c r="D233" s="7" t="s">
        <v>418</v>
      </c>
      <c r="E233" s="8" t="s">
        <v>1090</v>
      </c>
      <c r="F233" s="8" t="s">
        <v>1090</v>
      </c>
      <c r="G233" s="113">
        <f t="shared" si="43"/>
        <v>1</v>
      </c>
      <c r="H233" s="113" t="str">
        <f t="shared" si="44"/>
        <v>Other</v>
      </c>
      <c r="I233" s="117" t="s">
        <v>419</v>
      </c>
      <c r="J233" s="9" t="s">
        <v>419</v>
      </c>
      <c r="K233" s="10" t="s">
        <v>419</v>
      </c>
      <c r="L233" s="11" t="str">
        <f t="shared" si="40"/>
        <v>Ot</v>
      </c>
      <c r="M233" s="18" t="s">
        <v>420</v>
      </c>
      <c r="N233" s="12" t="s">
        <v>180</v>
      </c>
      <c r="O233" s="18" t="s">
        <v>421</v>
      </c>
      <c r="P233" s="197" t="s">
        <v>423</v>
      </c>
      <c r="Q233" s="120" t="s">
        <v>1080</v>
      </c>
      <c r="R233" s="13" t="s">
        <v>506</v>
      </c>
      <c r="S233" s="7">
        <v>1</v>
      </c>
      <c r="T233" s="14">
        <v>0</v>
      </c>
      <c r="U233" s="15">
        <f t="shared" si="45"/>
        <v>0</v>
      </c>
      <c r="V233" s="14">
        <v>0</v>
      </c>
      <c r="W233" s="15">
        <f t="shared" si="46"/>
        <v>0</v>
      </c>
      <c r="X233" s="9" t="s">
        <v>495</v>
      </c>
      <c r="Y233" s="7" t="s">
        <v>506</v>
      </c>
      <c r="Z233" s="16">
        <v>8</v>
      </c>
      <c r="AA233" s="17">
        <f t="shared" si="47"/>
        <v>0</v>
      </c>
      <c r="AB233" s="9" t="s">
        <v>422</v>
      </c>
    </row>
    <row r="234" spans="2:28">
      <c r="B234" s="189">
        <f t="shared" si="41"/>
        <v>3</v>
      </c>
      <c r="C234" s="112" t="str">
        <f t="shared" si="42"/>
        <v>ATK</v>
      </c>
      <c r="D234" s="7" t="s">
        <v>418</v>
      </c>
      <c r="E234" s="8" t="s">
        <v>1090</v>
      </c>
      <c r="F234" s="8" t="s">
        <v>1090</v>
      </c>
      <c r="G234" s="113">
        <f t="shared" si="43"/>
        <v>1</v>
      </c>
      <c r="H234" s="113" t="str">
        <f t="shared" si="44"/>
        <v>Other</v>
      </c>
      <c r="I234" s="117" t="s">
        <v>419</v>
      </c>
      <c r="J234" s="9" t="s">
        <v>419</v>
      </c>
      <c r="K234" s="10" t="s">
        <v>419</v>
      </c>
      <c r="L234" s="11" t="str">
        <f t="shared" si="40"/>
        <v>Ot</v>
      </c>
      <c r="M234" s="18" t="s">
        <v>420</v>
      </c>
      <c r="N234" s="12" t="s">
        <v>180</v>
      </c>
      <c r="O234" s="18" t="s">
        <v>421</v>
      </c>
      <c r="P234" s="197" t="s">
        <v>423</v>
      </c>
      <c r="Q234" s="120" t="s">
        <v>1080</v>
      </c>
      <c r="R234" s="13" t="s">
        <v>506</v>
      </c>
      <c r="S234" s="7">
        <v>1</v>
      </c>
      <c r="T234" s="14">
        <v>0</v>
      </c>
      <c r="U234" s="15">
        <f t="shared" si="45"/>
        <v>0</v>
      </c>
      <c r="V234" s="14">
        <v>0</v>
      </c>
      <c r="W234" s="15">
        <f t="shared" si="46"/>
        <v>0</v>
      </c>
      <c r="X234" s="9" t="s">
        <v>495</v>
      </c>
      <c r="Y234" s="7" t="s">
        <v>506</v>
      </c>
      <c r="Z234" s="16">
        <v>8</v>
      </c>
      <c r="AA234" s="17">
        <f t="shared" si="47"/>
        <v>0</v>
      </c>
      <c r="AB234" s="9" t="s">
        <v>494</v>
      </c>
    </row>
    <row r="235" spans="2:28">
      <c r="B235" s="189">
        <f t="shared" si="41"/>
        <v>3</v>
      </c>
      <c r="C235" s="112" t="str">
        <f t="shared" si="42"/>
        <v>ATK</v>
      </c>
      <c r="D235" s="7" t="s">
        <v>380</v>
      </c>
      <c r="E235" s="8" t="s">
        <v>1090</v>
      </c>
      <c r="F235" s="8" t="s">
        <v>1090</v>
      </c>
      <c r="G235" s="113">
        <f t="shared" si="43"/>
        <v>1</v>
      </c>
      <c r="H235" s="113" t="str">
        <f t="shared" si="44"/>
        <v>완료</v>
      </c>
      <c r="I235" s="117" t="s">
        <v>412</v>
      </c>
      <c r="J235" s="9" t="s">
        <v>381</v>
      </c>
      <c r="K235" s="10" t="s">
        <v>382</v>
      </c>
      <c r="L235" s="11" t="str">
        <f t="shared" si="40"/>
        <v>2T</v>
      </c>
      <c r="M235" s="18" t="s">
        <v>428</v>
      </c>
      <c r="N235" s="12" t="s">
        <v>429</v>
      </c>
      <c r="O235" s="18" t="s">
        <v>169</v>
      </c>
      <c r="P235" s="197" t="s">
        <v>430</v>
      </c>
      <c r="Q235" s="120" t="s">
        <v>532</v>
      </c>
      <c r="R235" s="13" t="s">
        <v>506</v>
      </c>
      <c r="S235" s="7">
        <v>1</v>
      </c>
      <c r="T235" s="14">
        <v>600</v>
      </c>
      <c r="U235" s="15">
        <f t="shared" si="45"/>
        <v>300</v>
      </c>
      <c r="V235" s="14">
        <v>4</v>
      </c>
      <c r="W235" s="15">
        <f t="shared" si="46"/>
        <v>296</v>
      </c>
      <c r="X235" s="9" t="s">
        <v>495</v>
      </c>
      <c r="Y235" s="7" t="s">
        <v>506</v>
      </c>
      <c r="Z235" s="16">
        <v>1</v>
      </c>
      <c r="AA235" s="17">
        <f t="shared" si="47"/>
        <v>0</v>
      </c>
      <c r="AB235" s="9" t="s">
        <v>213</v>
      </c>
    </row>
    <row r="236" spans="2:28">
      <c r="B236" s="189">
        <f t="shared" si="41"/>
        <v>3</v>
      </c>
      <c r="C236" s="112" t="str">
        <f t="shared" si="42"/>
        <v>ATK</v>
      </c>
      <c r="D236" s="7" t="s">
        <v>364</v>
      </c>
      <c r="E236" s="8" t="s">
        <v>1090</v>
      </c>
      <c r="F236" s="8" t="s">
        <v>1081</v>
      </c>
      <c r="G236" s="113">
        <f t="shared" si="43"/>
        <v>1</v>
      </c>
      <c r="H236" s="113" t="str">
        <f t="shared" si="44"/>
        <v>완료</v>
      </c>
      <c r="I236" s="117" t="s">
        <v>412</v>
      </c>
      <c r="J236" s="9" t="s">
        <v>338</v>
      </c>
      <c r="K236" s="10" t="s">
        <v>251</v>
      </c>
      <c r="L236" s="11" t="str">
        <f t="shared" si="40"/>
        <v>1T</v>
      </c>
      <c r="M236" s="18" t="s">
        <v>385</v>
      </c>
      <c r="N236" s="12" t="s">
        <v>874</v>
      </c>
      <c r="O236" s="18" t="s">
        <v>431</v>
      </c>
      <c r="P236" s="197" t="s">
        <v>189</v>
      </c>
      <c r="Q236" s="120" t="s">
        <v>532</v>
      </c>
      <c r="R236" s="13" t="s">
        <v>506</v>
      </c>
      <c r="S236" s="7">
        <v>2</v>
      </c>
      <c r="T236" s="14">
        <v>8000</v>
      </c>
      <c r="U236" s="15">
        <f t="shared" si="45"/>
        <v>8000</v>
      </c>
      <c r="V236" s="14">
        <v>1</v>
      </c>
      <c r="W236" s="15">
        <f t="shared" si="46"/>
        <v>7999</v>
      </c>
      <c r="X236" s="9" t="s">
        <v>495</v>
      </c>
      <c r="Y236" s="7" t="s">
        <v>506</v>
      </c>
      <c r="Z236" s="16">
        <v>4</v>
      </c>
      <c r="AA236" s="17">
        <f t="shared" si="47"/>
        <v>1</v>
      </c>
      <c r="AB236" s="9" t="s">
        <v>213</v>
      </c>
    </row>
    <row r="237" spans="2:28">
      <c r="B237" s="189">
        <f t="shared" si="41"/>
        <v>6</v>
      </c>
      <c r="C237" s="112" t="str">
        <f t="shared" si="42"/>
        <v>ATK</v>
      </c>
      <c r="D237" s="7" t="s">
        <v>159</v>
      </c>
      <c r="E237" s="8" t="s">
        <v>1090</v>
      </c>
      <c r="F237" s="8" t="s">
        <v>812</v>
      </c>
      <c r="G237" s="113">
        <f t="shared" si="43"/>
        <v>2</v>
      </c>
      <c r="H237" s="113" t="str">
        <f t="shared" si="44"/>
        <v>완료</v>
      </c>
      <c r="I237" s="117" t="s">
        <v>412</v>
      </c>
      <c r="J237" s="9" t="s">
        <v>491</v>
      </c>
      <c r="K237" s="10" t="s">
        <v>279</v>
      </c>
      <c r="L237" s="11" t="str">
        <f t="shared" si="40"/>
        <v>5T</v>
      </c>
      <c r="M237" s="18" t="s">
        <v>432</v>
      </c>
      <c r="N237" s="12" t="s">
        <v>429</v>
      </c>
      <c r="O237" s="18" t="s">
        <v>157</v>
      </c>
      <c r="P237" s="197" t="s">
        <v>433</v>
      </c>
      <c r="Q237" s="120" t="s">
        <v>1091</v>
      </c>
      <c r="R237" s="13" t="s">
        <v>506</v>
      </c>
      <c r="S237" s="7">
        <v>2</v>
      </c>
      <c r="T237" s="14">
        <v>4000</v>
      </c>
      <c r="U237" s="15">
        <f t="shared" si="45"/>
        <v>4000</v>
      </c>
      <c r="V237" s="14">
        <v>1</v>
      </c>
      <c r="W237" s="15">
        <f t="shared" si="46"/>
        <v>3999</v>
      </c>
      <c r="X237" s="9" t="s">
        <v>495</v>
      </c>
      <c r="Y237" s="7" t="s">
        <v>506</v>
      </c>
      <c r="Z237" s="16">
        <v>2</v>
      </c>
      <c r="AA237" s="17">
        <f t="shared" si="47"/>
        <v>21</v>
      </c>
      <c r="AB237" s="9" t="s">
        <v>213</v>
      </c>
    </row>
    <row r="238" spans="2:28" ht="24">
      <c r="B238" s="189">
        <f t="shared" si="41"/>
        <v>4</v>
      </c>
      <c r="C238" s="112" t="str">
        <f t="shared" si="42"/>
        <v>ATK</v>
      </c>
      <c r="D238" s="7" t="s">
        <v>496</v>
      </c>
      <c r="E238" s="8" t="s">
        <v>1090</v>
      </c>
      <c r="F238" s="8" t="s">
        <v>1000</v>
      </c>
      <c r="G238" s="113">
        <f t="shared" si="43"/>
        <v>1</v>
      </c>
      <c r="H238" s="113" t="str">
        <f t="shared" si="44"/>
        <v>완료</v>
      </c>
      <c r="I238" s="117" t="s">
        <v>412</v>
      </c>
      <c r="J238" s="9" t="s">
        <v>491</v>
      </c>
      <c r="K238" s="10" t="s">
        <v>492</v>
      </c>
      <c r="L238" s="11" t="str">
        <f t="shared" si="40"/>
        <v>5T</v>
      </c>
      <c r="M238" s="18" t="s">
        <v>432</v>
      </c>
      <c r="N238" s="12" t="s">
        <v>1010</v>
      </c>
      <c r="O238" s="18" t="s">
        <v>1092</v>
      </c>
      <c r="P238" s="197" t="s">
        <v>434</v>
      </c>
      <c r="Q238" s="120" t="s">
        <v>1093</v>
      </c>
      <c r="R238" s="13" t="s">
        <v>506</v>
      </c>
      <c r="S238" s="7">
        <v>1</v>
      </c>
      <c r="T238" s="14">
        <v>12000</v>
      </c>
      <c r="U238" s="15">
        <f t="shared" si="45"/>
        <v>6000</v>
      </c>
      <c r="V238" s="14">
        <v>0</v>
      </c>
      <c r="W238" s="15">
        <f t="shared" si="46"/>
        <v>6000</v>
      </c>
      <c r="X238" s="9" t="s">
        <v>495</v>
      </c>
      <c r="Y238" s="7" t="s">
        <v>506</v>
      </c>
      <c r="Z238" s="16">
        <v>8</v>
      </c>
      <c r="AA238" s="17">
        <f t="shared" si="47"/>
        <v>9</v>
      </c>
      <c r="AB238" s="9" t="s">
        <v>376</v>
      </c>
    </row>
    <row r="239" spans="2:28">
      <c r="B239" s="189">
        <f t="shared" si="41"/>
        <v>3</v>
      </c>
      <c r="C239" s="112" t="str">
        <f t="shared" si="42"/>
        <v>ATK</v>
      </c>
      <c r="D239" s="7" t="s">
        <v>215</v>
      </c>
      <c r="E239" s="8" t="s">
        <v>1090</v>
      </c>
      <c r="F239" s="8" t="s">
        <v>1081</v>
      </c>
      <c r="G239" s="113">
        <f t="shared" si="43"/>
        <v>1</v>
      </c>
      <c r="H239" s="113" t="str">
        <f t="shared" si="44"/>
        <v>완료</v>
      </c>
      <c r="I239" s="117" t="s">
        <v>412</v>
      </c>
      <c r="J239" s="9" t="s">
        <v>381</v>
      </c>
      <c r="K239" s="10" t="s">
        <v>435</v>
      </c>
      <c r="L239" s="11" t="str">
        <f t="shared" si="40"/>
        <v>2T</v>
      </c>
      <c r="M239" s="18" t="s">
        <v>339</v>
      </c>
      <c r="N239" s="12" t="s">
        <v>436</v>
      </c>
      <c r="O239" s="18" t="s">
        <v>441</v>
      </c>
      <c r="P239" s="197" t="s">
        <v>443</v>
      </c>
      <c r="Q239" s="120" t="s">
        <v>1094</v>
      </c>
      <c r="R239" s="13" t="s">
        <v>506</v>
      </c>
      <c r="S239" s="7">
        <v>1</v>
      </c>
      <c r="T239" s="14">
        <v>1900</v>
      </c>
      <c r="U239" s="15">
        <f t="shared" si="45"/>
        <v>950</v>
      </c>
      <c r="V239" s="14">
        <v>5</v>
      </c>
      <c r="W239" s="15">
        <f t="shared" si="46"/>
        <v>945</v>
      </c>
      <c r="X239" s="9" t="s">
        <v>495</v>
      </c>
      <c r="Y239" s="7" t="s">
        <v>506</v>
      </c>
      <c r="Z239" s="16">
        <v>2</v>
      </c>
      <c r="AA239" s="17">
        <f t="shared" si="47"/>
        <v>1</v>
      </c>
      <c r="AB239" s="9" t="s">
        <v>213</v>
      </c>
    </row>
    <row r="240" spans="2:28">
      <c r="B240" s="189">
        <f t="shared" si="41"/>
        <v>3</v>
      </c>
      <c r="C240" s="112" t="str">
        <f t="shared" si="42"/>
        <v>ATK</v>
      </c>
      <c r="D240" s="7" t="s">
        <v>215</v>
      </c>
      <c r="E240" s="8" t="s">
        <v>1090</v>
      </c>
      <c r="F240" s="8" t="s">
        <v>1075</v>
      </c>
      <c r="G240" s="113">
        <f t="shared" si="43"/>
        <v>1</v>
      </c>
      <c r="H240" s="113" t="str">
        <f t="shared" si="44"/>
        <v>완료</v>
      </c>
      <c r="I240" s="117" t="s">
        <v>412</v>
      </c>
      <c r="J240" s="9" t="s">
        <v>381</v>
      </c>
      <c r="K240" s="10" t="s">
        <v>435</v>
      </c>
      <c r="L240" s="11" t="str">
        <f t="shared" si="40"/>
        <v>2T</v>
      </c>
      <c r="M240" s="18" t="s">
        <v>339</v>
      </c>
      <c r="N240" s="12" t="s">
        <v>436</v>
      </c>
      <c r="O240" s="18" t="s">
        <v>444</v>
      </c>
      <c r="P240" s="197" t="s">
        <v>442</v>
      </c>
      <c r="Q240" s="120" t="s">
        <v>748</v>
      </c>
      <c r="R240" s="13" t="s">
        <v>506</v>
      </c>
      <c r="S240" s="7">
        <v>1</v>
      </c>
      <c r="T240" s="14">
        <v>1600</v>
      </c>
      <c r="U240" s="15">
        <f t="shared" si="45"/>
        <v>800</v>
      </c>
      <c r="V240" s="14">
        <v>60</v>
      </c>
      <c r="W240" s="15">
        <f t="shared" si="46"/>
        <v>740</v>
      </c>
      <c r="X240" s="9" t="s">
        <v>495</v>
      </c>
      <c r="Y240" s="7" t="s">
        <v>506</v>
      </c>
      <c r="Z240" s="16">
        <v>3</v>
      </c>
      <c r="AA240" s="17">
        <f t="shared" si="47"/>
        <v>2</v>
      </c>
      <c r="AB240" s="9" t="s">
        <v>376</v>
      </c>
    </row>
    <row r="241" spans="2:28">
      <c r="B241" s="189">
        <f t="shared" si="41"/>
        <v>4</v>
      </c>
      <c r="C241" s="112" t="str">
        <f t="shared" si="42"/>
        <v>ATK</v>
      </c>
      <c r="D241" s="7" t="s">
        <v>307</v>
      </c>
      <c r="E241" s="8" t="s">
        <v>1090</v>
      </c>
      <c r="F241" s="8" t="s">
        <v>1066</v>
      </c>
      <c r="G241" s="113">
        <f t="shared" si="43"/>
        <v>1</v>
      </c>
      <c r="H241" s="113" t="str">
        <f t="shared" si="44"/>
        <v>완료</v>
      </c>
      <c r="I241" s="117" t="s">
        <v>412</v>
      </c>
      <c r="J241" s="9" t="s">
        <v>198</v>
      </c>
      <c r="K241" s="10" t="s">
        <v>186</v>
      </c>
      <c r="L241" s="11" t="str">
        <f t="shared" si="40"/>
        <v>3T</v>
      </c>
      <c r="M241" s="18" t="s">
        <v>458</v>
      </c>
      <c r="N241" s="12" t="s">
        <v>460</v>
      </c>
      <c r="O241" s="18" t="s">
        <v>461</v>
      </c>
      <c r="P241" s="197" t="s">
        <v>462</v>
      </c>
      <c r="Q241" s="120" t="s">
        <v>1095</v>
      </c>
      <c r="R241" s="13" t="s">
        <v>464</v>
      </c>
      <c r="S241" s="7">
        <v>1</v>
      </c>
      <c r="T241" s="14">
        <v>180</v>
      </c>
      <c r="U241" s="15">
        <f t="shared" si="45"/>
        <v>90</v>
      </c>
      <c r="V241" s="14">
        <v>0</v>
      </c>
      <c r="W241" s="15">
        <f t="shared" si="46"/>
        <v>90</v>
      </c>
      <c r="X241" s="9" t="s">
        <v>495</v>
      </c>
      <c r="Y241" s="7" t="s">
        <v>506</v>
      </c>
      <c r="Z241" s="16">
        <v>3</v>
      </c>
      <c r="AA241" s="17">
        <f t="shared" si="47"/>
        <v>5</v>
      </c>
      <c r="AB241" s="9" t="s">
        <v>422</v>
      </c>
    </row>
    <row r="242" spans="2:28">
      <c r="B242" s="189">
        <f t="shared" si="41"/>
        <v>4</v>
      </c>
      <c r="C242" s="112" t="str">
        <f t="shared" si="42"/>
        <v>ATK</v>
      </c>
      <c r="D242" s="7" t="s">
        <v>215</v>
      </c>
      <c r="E242" s="8" t="s">
        <v>1090</v>
      </c>
      <c r="F242" s="8" t="s">
        <v>1066</v>
      </c>
      <c r="G242" s="113">
        <f t="shared" si="43"/>
        <v>1</v>
      </c>
      <c r="H242" s="113" t="str">
        <f t="shared" si="44"/>
        <v>완료</v>
      </c>
      <c r="I242" s="117" t="s">
        <v>412</v>
      </c>
      <c r="J242" s="9" t="s">
        <v>381</v>
      </c>
      <c r="K242" s="10" t="s">
        <v>435</v>
      </c>
      <c r="L242" s="11" t="str">
        <f t="shared" si="40"/>
        <v>2T</v>
      </c>
      <c r="M242" s="18" t="s">
        <v>339</v>
      </c>
      <c r="N242" s="12" t="s">
        <v>468</v>
      </c>
      <c r="O242" s="18" t="s">
        <v>470</v>
      </c>
      <c r="P242" s="197" t="s">
        <v>469</v>
      </c>
      <c r="Q242" s="120" t="s">
        <v>1096</v>
      </c>
      <c r="R242" s="13" t="s">
        <v>506</v>
      </c>
      <c r="S242" s="7">
        <v>1</v>
      </c>
      <c r="T242" s="14">
        <v>1600</v>
      </c>
      <c r="U242" s="15">
        <f t="shared" si="45"/>
        <v>800</v>
      </c>
      <c r="V242" s="14">
        <v>50</v>
      </c>
      <c r="W242" s="15">
        <f t="shared" si="46"/>
        <v>750</v>
      </c>
      <c r="X242" s="9" t="s">
        <v>495</v>
      </c>
      <c r="Y242" s="7" t="s">
        <v>506</v>
      </c>
      <c r="Z242" s="16">
        <v>2</v>
      </c>
      <c r="AA242" s="17">
        <f t="shared" si="47"/>
        <v>5</v>
      </c>
      <c r="AB242" s="9" t="s">
        <v>376</v>
      </c>
    </row>
    <row r="243" spans="2:28">
      <c r="B243" s="189">
        <f t="shared" si="41"/>
        <v>4</v>
      </c>
      <c r="C243" s="112" t="str">
        <f t="shared" si="42"/>
        <v>ATK</v>
      </c>
      <c r="D243" s="7" t="s">
        <v>159</v>
      </c>
      <c r="E243" s="8" t="s">
        <v>1090</v>
      </c>
      <c r="F243" s="8" t="s">
        <v>1032</v>
      </c>
      <c r="G243" s="113">
        <f t="shared" si="43"/>
        <v>1</v>
      </c>
      <c r="H243" s="113" t="str">
        <f t="shared" si="44"/>
        <v>완료</v>
      </c>
      <c r="I243" s="117" t="s">
        <v>412</v>
      </c>
      <c r="J243" s="9" t="s">
        <v>491</v>
      </c>
      <c r="K243" s="10" t="s">
        <v>492</v>
      </c>
      <c r="L243" s="11" t="str">
        <f t="shared" si="40"/>
        <v>5T</v>
      </c>
      <c r="M243" s="18" t="s">
        <v>869</v>
      </c>
      <c r="N243" s="12" t="s">
        <v>157</v>
      </c>
      <c r="O243" s="18" t="s">
        <v>870</v>
      </c>
      <c r="P243" s="197" t="s">
        <v>423</v>
      </c>
      <c r="Q243" s="120" t="s">
        <v>1097</v>
      </c>
      <c r="R243" s="13" t="s">
        <v>872</v>
      </c>
      <c r="S243" s="7">
        <v>1</v>
      </c>
      <c r="T243" s="14">
        <v>170</v>
      </c>
      <c r="U243" s="15">
        <f t="shared" si="45"/>
        <v>85</v>
      </c>
      <c r="V243" s="14">
        <v>3</v>
      </c>
      <c r="W243" s="15">
        <f t="shared" si="46"/>
        <v>82</v>
      </c>
      <c r="X243" s="9" t="s">
        <v>495</v>
      </c>
      <c r="Y243" s="7" t="s">
        <v>506</v>
      </c>
      <c r="Z243" s="16">
        <v>4</v>
      </c>
      <c r="AA243" s="17">
        <f t="shared" si="47"/>
        <v>7</v>
      </c>
      <c r="AB243" s="9" t="s">
        <v>422</v>
      </c>
    </row>
    <row r="244" spans="2:28">
      <c r="B244" s="189">
        <f t="shared" si="41"/>
        <v>5</v>
      </c>
      <c r="C244" s="112" t="str">
        <f t="shared" si="42"/>
        <v>ATK</v>
      </c>
      <c r="D244" s="7" t="s">
        <v>276</v>
      </c>
      <c r="E244" s="8" t="s">
        <v>1090</v>
      </c>
      <c r="F244" s="8" t="s">
        <v>946</v>
      </c>
      <c r="G244" s="113">
        <f t="shared" si="43"/>
        <v>2</v>
      </c>
      <c r="H244" s="113" t="str">
        <f t="shared" si="44"/>
        <v>완료</v>
      </c>
      <c r="I244" s="117" t="s">
        <v>412</v>
      </c>
      <c r="J244" s="9" t="s">
        <v>381</v>
      </c>
      <c r="K244" s="10" t="s">
        <v>382</v>
      </c>
      <c r="L244" s="11" t="str">
        <f t="shared" si="40"/>
        <v>2T</v>
      </c>
      <c r="M244" s="18" t="s">
        <v>182</v>
      </c>
      <c r="N244" s="12" t="s">
        <v>280</v>
      </c>
      <c r="O244" s="18" t="s">
        <v>182</v>
      </c>
      <c r="P244" s="197" t="s">
        <v>506</v>
      </c>
      <c r="Q244" s="120" t="s">
        <v>1098</v>
      </c>
      <c r="R244" s="13" t="s">
        <v>506</v>
      </c>
      <c r="S244" s="7">
        <v>2</v>
      </c>
      <c r="T244" s="14">
        <v>710</v>
      </c>
      <c r="U244" s="15">
        <f t="shared" si="45"/>
        <v>710</v>
      </c>
      <c r="V244" s="14">
        <v>25</v>
      </c>
      <c r="W244" s="15">
        <f t="shared" si="46"/>
        <v>685</v>
      </c>
      <c r="X244" s="9" t="s">
        <v>495</v>
      </c>
      <c r="Y244" s="7" t="s">
        <v>506</v>
      </c>
      <c r="Z244" s="16">
        <v>3</v>
      </c>
      <c r="AA244" s="17">
        <f t="shared" si="47"/>
        <v>13</v>
      </c>
      <c r="AB244" s="9" t="s">
        <v>494</v>
      </c>
    </row>
    <row r="245" spans="2:28">
      <c r="B245" s="189">
        <f t="shared" si="41"/>
        <v>5</v>
      </c>
      <c r="C245" s="112" t="str">
        <f t="shared" si="42"/>
        <v>ATK</v>
      </c>
      <c r="D245" s="7" t="s">
        <v>389</v>
      </c>
      <c r="E245" s="8" t="s">
        <v>1090</v>
      </c>
      <c r="F245" s="8" t="s">
        <v>893</v>
      </c>
      <c r="G245" s="113">
        <f t="shared" si="43"/>
        <v>2</v>
      </c>
      <c r="H245" s="113" t="str">
        <f t="shared" si="44"/>
        <v>Other</v>
      </c>
      <c r="I245" s="117" t="s">
        <v>401</v>
      </c>
      <c r="J245" s="9" t="s">
        <v>381</v>
      </c>
      <c r="K245" s="10" t="s">
        <v>170</v>
      </c>
      <c r="L245" s="11" t="str">
        <f t="shared" si="40"/>
        <v>2T</v>
      </c>
      <c r="M245" s="18" t="s">
        <v>182</v>
      </c>
      <c r="N245" s="12" t="s">
        <v>297</v>
      </c>
      <c r="O245" s="18" t="s">
        <v>182</v>
      </c>
      <c r="P245" s="197" t="s">
        <v>506</v>
      </c>
      <c r="Q245" s="120" t="s">
        <v>1099</v>
      </c>
      <c r="R245" s="13" t="s">
        <v>506</v>
      </c>
      <c r="S245" s="7">
        <v>1</v>
      </c>
      <c r="T245" s="14">
        <v>0</v>
      </c>
      <c r="U245" s="15">
        <f t="shared" si="45"/>
        <v>0</v>
      </c>
      <c r="V245" s="14">
        <v>0</v>
      </c>
      <c r="W245" s="15">
        <f t="shared" si="46"/>
        <v>0</v>
      </c>
      <c r="X245" s="9" t="s">
        <v>495</v>
      </c>
      <c r="Y245" s="7" t="s">
        <v>506</v>
      </c>
      <c r="Z245" s="16">
        <v>1</v>
      </c>
      <c r="AA245" s="17">
        <f t="shared" si="47"/>
        <v>15</v>
      </c>
      <c r="AB245" s="9" t="s">
        <v>494</v>
      </c>
    </row>
    <row r="246" spans="2:28" ht="36">
      <c r="B246" s="189">
        <f t="shared" si="41"/>
        <v>6</v>
      </c>
      <c r="C246" s="112" t="str">
        <f t="shared" si="42"/>
        <v>ATK</v>
      </c>
      <c r="D246" s="7" t="s">
        <v>1100</v>
      </c>
      <c r="E246" s="8" t="s">
        <v>1090</v>
      </c>
      <c r="F246" s="8" t="s">
        <v>853</v>
      </c>
      <c r="G246" s="113">
        <f t="shared" si="43"/>
        <v>2</v>
      </c>
      <c r="H246" s="113" t="str">
        <f t="shared" si="44"/>
        <v>완료</v>
      </c>
      <c r="I246" s="117" t="s">
        <v>412</v>
      </c>
      <c r="J246" s="9" t="s">
        <v>1101</v>
      </c>
      <c r="K246" s="10" t="s">
        <v>1101</v>
      </c>
      <c r="L246" s="11" t="str">
        <f t="shared" si="40"/>
        <v>시설</v>
      </c>
      <c r="M246" s="18" t="s">
        <v>1102</v>
      </c>
      <c r="N246" s="12" t="s">
        <v>1103</v>
      </c>
      <c r="O246" s="18" t="s">
        <v>1103</v>
      </c>
      <c r="P246" s="197" t="s">
        <v>506</v>
      </c>
      <c r="Q246" s="120" t="s">
        <v>1104</v>
      </c>
      <c r="R246" s="13" t="s">
        <v>506</v>
      </c>
      <c r="S246" s="7">
        <v>3</v>
      </c>
      <c r="T246" s="14">
        <v>3000</v>
      </c>
      <c r="U246" s="15">
        <f t="shared" si="45"/>
        <v>4500</v>
      </c>
      <c r="V246" s="14">
        <v>600</v>
      </c>
      <c r="W246" s="15">
        <f t="shared" si="46"/>
        <v>3900</v>
      </c>
      <c r="X246" s="9" t="s">
        <v>495</v>
      </c>
      <c r="Y246" s="7" t="s">
        <v>506</v>
      </c>
      <c r="Z246" s="16">
        <v>8</v>
      </c>
      <c r="AA246" s="17">
        <f t="shared" si="47"/>
        <v>19</v>
      </c>
      <c r="AB246" s="9" t="s">
        <v>494</v>
      </c>
    </row>
    <row r="247" spans="2:28">
      <c r="B247" s="189">
        <f t="shared" si="41"/>
        <v>3</v>
      </c>
      <c r="C247" s="112" t="str">
        <f t="shared" si="42"/>
        <v>ATK</v>
      </c>
      <c r="D247" s="7" t="s">
        <v>1105</v>
      </c>
      <c r="E247" s="8" t="s">
        <v>1090</v>
      </c>
      <c r="F247" s="8" t="s">
        <v>1081</v>
      </c>
      <c r="G247" s="113">
        <f t="shared" si="43"/>
        <v>1</v>
      </c>
      <c r="H247" s="113" t="str">
        <f t="shared" si="44"/>
        <v>Other</v>
      </c>
      <c r="I247" s="117" t="s">
        <v>419</v>
      </c>
      <c r="J247" s="9" t="s">
        <v>454</v>
      </c>
      <c r="K247" s="10" t="s">
        <v>454</v>
      </c>
      <c r="L247" s="11" t="str">
        <f t="shared" si="40"/>
        <v>인사</v>
      </c>
      <c r="M247" s="18" t="s">
        <v>180</v>
      </c>
      <c r="N247" s="12" t="s">
        <v>1106</v>
      </c>
      <c r="O247" s="18" t="s">
        <v>506</v>
      </c>
      <c r="P247" s="197" t="s">
        <v>506</v>
      </c>
      <c r="Q247" s="120" t="s">
        <v>1107</v>
      </c>
      <c r="R247" s="13" t="s">
        <v>506</v>
      </c>
      <c r="S247" s="7">
        <v>0</v>
      </c>
      <c r="T247" s="14">
        <v>0</v>
      </c>
      <c r="U247" s="15">
        <f t="shared" si="45"/>
        <v>0</v>
      </c>
      <c r="V247" s="14">
        <v>0</v>
      </c>
      <c r="W247" s="15">
        <f t="shared" si="46"/>
        <v>0</v>
      </c>
      <c r="X247" s="9" t="s">
        <v>495</v>
      </c>
      <c r="Y247" s="7" t="s">
        <v>506</v>
      </c>
      <c r="Z247" s="16">
        <v>8</v>
      </c>
      <c r="AA247" s="17">
        <f t="shared" si="47"/>
        <v>1</v>
      </c>
      <c r="AB247" s="9" t="s">
        <v>422</v>
      </c>
    </row>
    <row r="248" spans="2:28">
      <c r="B248" s="189">
        <f t="shared" si="41"/>
        <v>5</v>
      </c>
      <c r="C248" s="112" t="str">
        <f t="shared" si="42"/>
        <v>ATK</v>
      </c>
      <c r="D248" s="7" t="s">
        <v>407</v>
      </c>
      <c r="E248" s="8" t="s">
        <v>1108</v>
      </c>
      <c r="F248" s="8" t="s">
        <v>893</v>
      </c>
      <c r="G248" s="113">
        <f t="shared" si="43"/>
        <v>2</v>
      </c>
      <c r="H248" s="113" t="str">
        <f t="shared" si="44"/>
        <v>완료</v>
      </c>
      <c r="I248" s="117" t="s">
        <v>412</v>
      </c>
      <c r="J248" s="9" t="s">
        <v>408</v>
      </c>
      <c r="K248" s="10" t="s">
        <v>163</v>
      </c>
      <c r="L248" s="11" t="str">
        <f t="shared" si="40"/>
        <v>6T</v>
      </c>
      <c r="M248" s="18" t="s">
        <v>377</v>
      </c>
      <c r="N248" s="12" t="s">
        <v>409</v>
      </c>
      <c r="O248" s="18" t="s">
        <v>410</v>
      </c>
      <c r="P248" s="197" t="s">
        <v>506</v>
      </c>
      <c r="Q248" s="120" t="s">
        <v>1109</v>
      </c>
      <c r="R248" s="13" t="s">
        <v>506</v>
      </c>
      <c r="S248" s="7">
        <v>1</v>
      </c>
      <c r="T248" s="14">
        <v>500</v>
      </c>
      <c r="U248" s="15">
        <f t="shared" si="45"/>
        <v>250</v>
      </c>
      <c r="V248" s="14">
        <v>0</v>
      </c>
      <c r="W248" s="15">
        <f t="shared" si="46"/>
        <v>250</v>
      </c>
      <c r="X248" s="9" t="s">
        <v>495</v>
      </c>
      <c r="Y248" s="7" t="s">
        <v>506</v>
      </c>
      <c r="Z248" s="16">
        <v>5</v>
      </c>
      <c r="AA248" s="17">
        <f t="shared" si="47"/>
        <v>16</v>
      </c>
      <c r="AB248" s="9" t="s">
        <v>141</v>
      </c>
    </row>
    <row r="249" spans="2:28">
      <c r="B249" s="189">
        <f t="shared" si="41"/>
        <v>3</v>
      </c>
      <c r="C249" s="112" t="str">
        <f t="shared" si="42"/>
        <v>ATK</v>
      </c>
      <c r="D249" s="7" t="s">
        <v>411</v>
      </c>
      <c r="E249" s="8" t="s">
        <v>1108</v>
      </c>
      <c r="F249" s="8" t="s">
        <v>1108</v>
      </c>
      <c r="G249" s="113">
        <f t="shared" si="43"/>
        <v>1</v>
      </c>
      <c r="H249" s="113" t="str">
        <f t="shared" si="44"/>
        <v>완료</v>
      </c>
      <c r="I249" s="117" t="s">
        <v>412</v>
      </c>
      <c r="J249" s="9" t="s">
        <v>392</v>
      </c>
      <c r="K249" s="10" t="s">
        <v>393</v>
      </c>
      <c r="L249" s="11" t="str">
        <f t="shared" si="40"/>
        <v>EE</v>
      </c>
      <c r="M249" s="18" t="s">
        <v>432</v>
      </c>
      <c r="N249" s="12" t="s">
        <v>423</v>
      </c>
      <c r="O249" s="18" t="s">
        <v>161</v>
      </c>
      <c r="P249" s="197" t="s">
        <v>423</v>
      </c>
      <c r="Q249" s="120" t="s">
        <v>1110</v>
      </c>
      <c r="R249" s="13" t="s">
        <v>506</v>
      </c>
      <c r="S249" s="7">
        <v>1</v>
      </c>
      <c r="T249" s="14">
        <v>15000</v>
      </c>
      <c r="U249" s="15">
        <f t="shared" si="45"/>
        <v>7500</v>
      </c>
      <c r="V249" s="14">
        <v>0</v>
      </c>
      <c r="W249" s="15">
        <f t="shared" si="46"/>
        <v>7500</v>
      </c>
      <c r="X249" s="9" t="s">
        <v>495</v>
      </c>
      <c r="Y249" s="7" t="s">
        <v>506</v>
      </c>
      <c r="Z249" s="16">
        <v>4</v>
      </c>
      <c r="AA249" s="17">
        <f t="shared" si="47"/>
        <v>0</v>
      </c>
      <c r="AB249" s="9" t="s">
        <v>376</v>
      </c>
    </row>
    <row r="250" spans="2:28">
      <c r="B250" s="189">
        <f t="shared" si="41"/>
        <v>4</v>
      </c>
      <c r="C250" s="112" t="str">
        <f t="shared" si="42"/>
        <v>ATK</v>
      </c>
      <c r="D250" s="7" t="s">
        <v>215</v>
      </c>
      <c r="E250" s="8" t="s">
        <v>1108</v>
      </c>
      <c r="F250" s="8" t="s">
        <v>1020</v>
      </c>
      <c r="G250" s="113">
        <f t="shared" si="43"/>
        <v>1</v>
      </c>
      <c r="H250" s="113" t="str">
        <f t="shared" si="44"/>
        <v>완료</v>
      </c>
      <c r="I250" s="117" t="s">
        <v>412</v>
      </c>
      <c r="J250" s="9" t="s">
        <v>381</v>
      </c>
      <c r="K250" s="10" t="s">
        <v>435</v>
      </c>
      <c r="L250" s="11" t="str">
        <f t="shared" si="40"/>
        <v>2T</v>
      </c>
      <c r="M250" s="18" t="s">
        <v>339</v>
      </c>
      <c r="N250" s="12" t="s">
        <v>436</v>
      </c>
      <c r="O250" s="18" t="s">
        <v>203</v>
      </c>
      <c r="P250" s="197" t="s">
        <v>202</v>
      </c>
      <c r="Q250" s="120" t="s">
        <v>1111</v>
      </c>
      <c r="R250" s="13" t="s">
        <v>506</v>
      </c>
      <c r="S250" s="7">
        <v>2</v>
      </c>
      <c r="T250" s="14">
        <v>1500</v>
      </c>
      <c r="U250" s="15">
        <f t="shared" si="45"/>
        <v>1500</v>
      </c>
      <c r="V250" s="14">
        <v>0</v>
      </c>
      <c r="W250" s="15">
        <f t="shared" si="46"/>
        <v>1500</v>
      </c>
      <c r="X250" s="9" t="s">
        <v>495</v>
      </c>
      <c r="Y250" s="7" t="s">
        <v>506</v>
      </c>
      <c r="Z250" s="16">
        <v>2</v>
      </c>
      <c r="AA250" s="17">
        <f t="shared" si="47"/>
        <v>9</v>
      </c>
      <c r="AB250" s="9" t="s">
        <v>494</v>
      </c>
    </row>
    <row r="251" spans="2:28">
      <c r="B251" s="189">
        <f t="shared" si="41"/>
        <v>3</v>
      </c>
      <c r="C251" s="112" t="str">
        <f t="shared" si="42"/>
        <v>ATK</v>
      </c>
      <c r="D251" s="7" t="s">
        <v>415</v>
      </c>
      <c r="E251" s="8" t="s">
        <v>1108</v>
      </c>
      <c r="F251" s="8" t="s">
        <v>1108</v>
      </c>
      <c r="G251" s="113">
        <f t="shared" si="43"/>
        <v>1</v>
      </c>
      <c r="H251" s="113" t="str">
        <f t="shared" si="44"/>
        <v>완료</v>
      </c>
      <c r="I251" s="117" t="s">
        <v>412</v>
      </c>
      <c r="J251" s="9" t="s">
        <v>491</v>
      </c>
      <c r="K251" s="10" t="s">
        <v>492</v>
      </c>
      <c r="L251" s="11" t="str">
        <f t="shared" si="40"/>
        <v>5T</v>
      </c>
      <c r="M251" s="18" t="s">
        <v>432</v>
      </c>
      <c r="N251" s="12" t="s">
        <v>416</v>
      </c>
      <c r="O251" s="18" t="s">
        <v>144</v>
      </c>
      <c r="P251" s="197" t="s">
        <v>423</v>
      </c>
      <c r="Q251" s="120" t="s">
        <v>1110</v>
      </c>
      <c r="R251" s="13" t="s">
        <v>506</v>
      </c>
      <c r="S251" s="7">
        <v>1</v>
      </c>
      <c r="T251" s="14">
        <v>5000</v>
      </c>
      <c r="U251" s="15">
        <f t="shared" si="45"/>
        <v>2500</v>
      </c>
      <c r="V251" s="14">
        <v>30</v>
      </c>
      <c r="W251" s="15">
        <f t="shared" si="46"/>
        <v>2470</v>
      </c>
      <c r="X251" s="9" t="s">
        <v>495</v>
      </c>
      <c r="Y251" s="7" t="s">
        <v>506</v>
      </c>
      <c r="Z251" s="16">
        <v>4</v>
      </c>
      <c r="AA251" s="17">
        <f t="shared" si="47"/>
        <v>0</v>
      </c>
      <c r="AB251" s="9" t="s">
        <v>376</v>
      </c>
    </row>
    <row r="252" spans="2:28">
      <c r="B252" s="189">
        <f t="shared" si="41"/>
        <v>3</v>
      </c>
      <c r="C252" s="112" t="str">
        <f t="shared" si="42"/>
        <v>ATK</v>
      </c>
      <c r="D252" s="7" t="s">
        <v>424</v>
      </c>
      <c r="E252" s="8" t="s">
        <v>1108</v>
      </c>
      <c r="F252" s="8" t="s">
        <v>1090</v>
      </c>
      <c r="G252" s="113">
        <f t="shared" si="43"/>
        <v>1</v>
      </c>
      <c r="H252" s="113" t="str">
        <f t="shared" si="44"/>
        <v>완료</v>
      </c>
      <c r="I252" s="117" t="s">
        <v>412</v>
      </c>
      <c r="J252" s="9" t="s">
        <v>392</v>
      </c>
      <c r="K252" s="10" t="s">
        <v>485</v>
      </c>
      <c r="L252" s="11" t="str">
        <f t="shared" si="40"/>
        <v>EE</v>
      </c>
      <c r="M252" s="18" t="s">
        <v>426</v>
      </c>
      <c r="N252" s="12" t="s">
        <v>425</v>
      </c>
      <c r="O252" s="18" t="s">
        <v>427</v>
      </c>
      <c r="P252" s="197" t="s">
        <v>423</v>
      </c>
      <c r="Q252" s="120" t="s">
        <v>1112</v>
      </c>
      <c r="R252" s="13" t="s">
        <v>506</v>
      </c>
      <c r="S252" s="7">
        <v>1</v>
      </c>
      <c r="T252" s="14">
        <v>800</v>
      </c>
      <c r="U252" s="15">
        <f t="shared" si="45"/>
        <v>400</v>
      </c>
      <c r="V252" s="14">
        <v>20</v>
      </c>
      <c r="W252" s="15">
        <f t="shared" si="46"/>
        <v>380</v>
      </c>
      <c r="X252" s="9" t="s">
        <v>495</v>
      </c>
      <c r="Y252" s="7" t="s">
        <v>506</v>
      </c>
      <c r="Z252" s="16">
        <v>4</v>
      </c>
      <c r="AA252" s="17">
        <f t="shared" si="47"/>
        <v>1</v>
      </c>
      <c r="AB252" s="9" t="s">
        <v>376</v>
      </c>
    </row>
    <row r="253" spans="2:28">
      <c r="B253" s="189">
        <f t="shared" si="41"/>
        <v>6</v>
      </c>
      <c r="C253" s="112" t="str">
        <f t="shared" si="42"/>
        <v>ATK</v>
      </c>
      <c r="D253" s="7" t="s">
        <v>230</v>
      </c>
      <c r="E253" s="8" t="s">
        <v>1108</v>
      </c>
      <c r="F253" s="8" t="s">
        <v>812</v>
      </c>
      <c r="G253" s="113">
        <f t="shared" si="43"/>
        <v>2</v>
      </c>
      <c r="H253" s="113" t="str">
        <f t="shared" si="44"/>
        <v>완료</v>
      </c>
      <c r="I253" s="117" t="s">
        <v>412</v>
      </c>
      <c r="J253" s="9" t="s">
        <v>198</v>
      </c>
      <c r="K253" s="10" t="s">
        <v>186</v>
      </c>
      <c r="L253" s="11" t="str">
        <f t="shared" si="40"/>
        <v>3T</v>
      </c>
      <c r="M253" s="18" t="s">
        <v>182</v>
      </c>
      <c r="N253" s="12" t="s">
        <v>278</v>
      </c>
      <c r="O253" s="18" t="s">
        <v>182</v>
      </c>
      <c r="P253" s="197" t="s">
        <v>506</v>
      </c>
      <c r="Q253" s="120" t="s">
        <v>1113</v>
      </c>
      <c r="R253" s="13" t="s">
        <v>506</v>
      </c>
      <c r="S253" s="7">
        <v>1</v>
      </c>
      <c r="T253" s="14">
        <v>710</v>
      </c>
      <c r="U253" s="15">
        <f t="shared" si="45"/>
        <v>355</v>
      </c>
      <c r="V253" s="14">
        <v>0</v>
      </c>
      <c r="W253" s="15">
        <f t="shared" si="46"/>
        <v>355</v>
      </c>
      <c r="X253" s="9" t="s">
        <v>495</v>
      </c>
      <c r="Y253" s="7" t="s">
        <v>506</v>
      </c>
      <c r="Z253" s="16">
        <v>1</v>
      </c>
      <c r="AA253" s="17">
        <f t="shared" si="47"/>
        <v>22</v>
      </c>
      <c r="AB253" s="9" t="s">
        <v>494</v>
      </c>
    </row>
    <row r="254" spans="2:28" ht="24">
      <c r="B254" s="189">
        <f t="shared" si="41"/>
        <v>3</v>
      </c>
      <c r="C254" s="112" t="str">
        <f t="shared" si="42"/>
        <v>ATK</v>
      </c>
      <c r="D254" s="7" t="s">
        <v>219</v>
      </c>
      <c r="E254" s="8" t="s">
        <v>1114</v>
      </c>
      <c r="F254" s="8" t="s">
        <v>1114</v>
      </c>
      <c r="G254" s="113">
        <f t="shared" si="43"/>
        <v>1</v>
      </c>
      <c r="H254" s="113" t="str">
        <f t="shared" si="44"/>
        <v>완료</v>
      </c>
      <c r="I254" s="117" t="s">
        <v>412</v>
      </c>
      <c r="J254" s="9" t="s">
        <v>338</v>
      </c>
      <c r="K254" s="10" t="s">
        <v>206</v>
      </c>
      <c r="L254" s="11" t="str">
        <f t="shared" si="40"/>
        <v>1T</v>
      </c>
      <c r="M254" s="18" t="s">
        <v>296</v>
      </c>
      <c r="N254" s="12" t="s">
        <v>298</v>
      </c>
      <c r="O254" s="18" t="s">
        <v>400</v>
      </c>
      <c r="P254" s="197" t="s">
        <v>399</v>
      </c>
      <c r="Q254" s="120" t="s">
        <v>1115</v>
      </c>
      <c r="R254" s="13" t="s">
        <v>506</v>
      </c>
      <c r="S254" s="7">
        <v>1</v>
      </c>
      <c r="T254" s="14">
        <v>500</v>
      </c>
      <c r="U254" s="15">
        <f t="shared" si="45"/>
        <v>250</v>
      </c>
      <c r="V254" s="14">
        <v>2</v>
      </c>
      <c r="W254" s="15">
        <f t="shared" si="46"/>
        <v>248</v>
      </c>
      <c r="X254" s="9" t="s">
        <v>495</v>
      </c>
      <c r="Y254" s="7" t="s">
        <v>506</v>
      </c>
      <c r="Z254" s="16">
        <v>4</v>
      </c>
      <c r="AA254" s="17">
        <f t="shared" si="47"/>
        <v>0</v>
      </c>
      <c r="AB254" s="9" t="s">
        <v>422</v>
      </c>
    </row>
    <row r="255" spans="2:28">
      <c r="B255" s="189">
        <f t="shared" si="41"/>
        <v>3</v>
      </c>
      <c r="C255" s="112" t="str">
        <f t="shared" si="42"/>
        <v>ATK</v>
      </c>
      <c r="D255" s="7" t="s">
        <v>364</v>
      </c>
      <c r="E255" s="8" t="s">
        <v>1114</v>
      </c>
      <c r="F255" s="8" t="s">
        <v>1114</v>
      </c>
      <c r="G255" s="113">
        <f t="shared" si="43"/>
        <v>1</v>
      </c>
      <c r="H255" s="113" t="str">
        <f t="shared" si="44"/>
        <v>완료</v>
      </c>
      <c r="I255" s="117" t="s">
        <v>412</v>
      </c>
      <c r="J255" s="9" t="s">
        <v>338</v>
      </c>
      <c r="K255" s="10" t="s">
        <v>251</v>
      </c>
      <c r="L255" s="11" t="str">
        <f t="shared" si="40"/>
        <v>1T</v>
      </c>
      <c r="M255" s="18" t="s">
        <v>385</v>
      </c>
      <c r="N255" s="12" t="s">
        <v>387</v>
      </c>
      <c r="O255" s="18" t="s">
        <v>402</v>
      </c>
      <c r="P255" s="197" t="s">
        <v>403</v>
      </c>
      <c r="Q255" s="120" t="s">
        <v>1116</v>
      </c>
      <c r="R255" s="13" t="s">
        <v>506</v>
      </c>
      <c r="S255" s="7">
        <v>2</v>
      </c>
      <c r="T255" s="14">
        <v>2000</v>
      </c>
      <c r="U255" s="15">
        <f t="shared" si="45"/>
        <v>2000</v>
      </c>
      <c r="V255" s="14">
        <v>0</v>
      </c>
      <c r="W255" s="15">
        <f t="shared" si="46"/>
        <v>2000</v>
      </c>
      <c r="X255" s="9" t="s">
        <v>495</v>
      </c>
      <c r="Y255" s="7" t="s">
        <v>506</v>
      </c>
      <c r="Z255" s="16">
        <v>4</v>
      </c>
      <c r="AA255" s="17">
        <f t="shared" si="47"/>
        <v>0</v>
      </c>
      <c r="AB255" s="9" t="s">
        <v>422</v>
      </c>
    </row>
    <row r="256" spans="2:28">
      <c r="B256" s="189">
        <f t="shared" si="41"/>
        <v>3</v>
      </c>
      <c r="C256" s="112" t="str">
        <f t="shared" si="42"/>
        <v>ATK</v>
      </c>
      <c r="D256" s="7" t="s">
        <v>364</v>
      </c>
      <c r="E256" s="8" t="s">
        <v>1114</v>
      </c>
      <c r="F256" s="8" t="s">
        <v>1108</v>
      </c>
      <c r="G256" s="113">
        <f t="shared" si="43"/>
        <v>1</v>
      </c>
      <c r="H256" s="113" t="str">
        <f t="shared" si="44"/>
        <v>완료</v>
      </c>
      <c r="I256" s="117" t="s">
        <v>412</v>
      </c>
      <c r="J256" s="9" t="s">
        <v>338</v>
      </c>
      <c r="K256" s="10" t="s">
        <v>251</v>
      </c>
      <c r="L256" s="11" t="str">
        <f t="shared" si="40"/>
        <v>1T</v>
      </c>
      <c r="M256" s="18" t="s">
        <v>385</v>
      </c>
      <c r="N256" s="12" t="s">
        <v>387</v>
      </c>
      <c r="O256" s="18" t="s">
        <v>402</v>
      </c>
      <c r="P256" s="197" t="s">
        <v>403</v>
      </c>
      <c r="Q256" s="120" t="s">
        <v>532</v>
      </c>
      <c r="R256" s="13" t="s">
        <v>506</v>
      </c>
      <c r="S256" s="7">
        <v>2</v>
      </c>
      <c r="T256" s="14">
        <v>2000</v>
      </c>
      <c r="U256" s="15">
        <f t="shared" si="45"/>
        <v>2000</v>
      </c>
      <c r="V256" s="14">
        <v>0</v>
      </c>
      <c r="W256" s="15">
        <f t="shared" si="46"/>
        <v>2000</v>
      </c>
      <c r="X256" s="9" t="s">
        <v>495</v>
      </c>
      <c r="Y256" s="7" t="s">
        <v>506</v>
      </c>
      <c r="Z256" s="16">
        <v>4</v>
      </c>
      <c r="AA256" s="17">
        <f t="shared" si="47"/>
        <v>1</v>
      </c>
      <c r="AB256" s="9" t="s">
        <v>422</v>
      </c>
    </row>
    <row r="257" spans="2:28">
      <c r="B257" s="189">
        <f t="shared" si="41"/>
        <v>3</v>
      </c>
      <c r="C257" s="112" t="str">
        <f t="shared" si="42"/>
        <v>ATK</v>
      </c>
      <c r="D257" s="7" t="s">
        <v>404</v>
      </c>
      <c r="E257" s="8" t="s">
        <v>1114</v>
      </c>
      <c r="F257" s="8" t="s">
        <v>1114</v>
      </c>
      <c r="G257" s="113">
        <f t="shared" si="43"/>
        <v>1</v>
      </c>
      <c r="H257" s="113" t="str">
        <f t="shared" si="44"/>
        <v>완료</v>
      </c>
      <c r="I257" s="117" t="s">
        <v>412</v>
      </c>
      <c r="J257" s="9" t="s">
        <v>491</v>
      </c>
      <c r="K257" s="10" t="s">
        <v>279</v>
      </c>
      <c r="L257" s="11" t="str">
        <f t="shared" ref="L257:L320" si="48">LEFT(K257,2)</f>
        <v>5T</v>
      </c>
      <c r="M257" s="18" t="s">
        <v>432</v>
      </c>
      <c r="N257" s="12" t="s">
        <v>246</v>
      </c>
      <c r="O257" s="18" t="s">
        <v>413</v>
      </c>
      <c r="P257" s="197" t="s">
        <v>247</v>
      </c>
      <c r="Q257" s="120" t="s">
        <v>671</v>
      </c>
      <c r="R257" s="13" t="s">
        <v>506</v>
      </c>
      <c r="S257" s="7">
        <v>1</v>
      </c>
      <c r="T257" s="14">
        <v>1000</v>
      </c>
      <c r="U257" s="15">
        <f t="shared" si="45"/>
        <v>500</v>
      </c>
      <c r="V257" s="14">
        <v>20</v>
      </c>
      <c r="W257" s="15">
        <f t="shared" si="46"/>
        <v>480</v>
      </c>
      <c r="X257" s="9" t="s">
        <v>495</v>
      </c>
      <c r="Y257" s="7" t="s">
        <v>506</v>
      </c>
      <c r="Z257" s="16">
        <v>4</v>
      </c>
      <c r="AA257" s="17">
        <f t="shared" si="47"/>
        <v>0</v>
      </c>
      <c r="AB257" s="9" t="s">
        <v>141</v>
      </c>
    </row>
    <row r="258" spans="2:28">
      <c r="B258" s="189">
        <f t="shared" ref="B258:B321" si="49">IF(F258&gt;0,IFERROR(WEEKNUM(F258),"")-1,"")</f>
        <v>3</v>
      </c>
      <c r="C258" s="112" t="str">
        <f t="shared" ref="C258:C321" si="50">IF(D258=0,"",(IF(LEFT(D258,3)="ATK","ATK",IF(LEFT(D258,2)="AT",D258,"ATK"))))</f>
        <v>ATK</v>
      </c>
      <c r="D258" s="7" t="s">
        <v>404</v>
      </c>
      <c r="E258" s="8" t="s">
        <v>1114</v>
      </c>
      <c r="F258" s="8" t="s">
        <v>1108</v>
      </c>
      <c r="G258" s="113">
        <f t="shared" ref="G258:G321" si="51">IF(F258&gt;0,MONTH(F258),"")</f>
        <v>1</v>
      </c>
      <c r="H258" s="113" t="str">
        <f t="shared" ref="H258:H321" si="52">IF(I258=0,"",IF(RIGHT(I258,2)="완료","완료",IF(RIGHT(I258,2)="불가","수리불가",IF(RIGHT(I258,1)="중","수리중","Other"))))</f>
        <v>완료</v>
      </c>
      <c r="I258" s="117" t="s">
        <v>412</v>
      </c>
      <c r="J258" s="9" t="s">
        <v>491</v>
      </c>
      <c r="K258" s="10" t="s">
        <v>279</v>
      </c>
      <c r="L258" s="11" t="str">
        <f t="shared" si="48"/>
        <v>5T</v>
      </c>
      <c r="M258" s="18" t="s">
        <v>432</v>
      </c>
      <c r="N258" s="12" t="s">
        <v>405</v>
      </c>
      <c r="O258" s="18" t="s">
        <v>414</v>
      </c>
      <c r="P258" s="197" t="s">
        <v>406</v>
      </c>
      <c r="Q258" s="120" t="s">
        <v>1117</v>
      </c>
      <c r="R258" s="13" t="s">
        <v>506</v>
      </c>
      <c r="S258" s="7">
        <v>1</v>
      </c>
      <c r="T258" s="14">
        <v>1000</v>
      </c>
      <c r="U258" s="15">
        <f t="shared" si="45"/>
        <v>500</v>
      </c>
      <c r="V258" s="14">
        <v>20</v>
      </c>
      <c r="W258" s="15">
        <f t="shared" si="46"/>
        <v>480</v>
      </c>
      <c r="X258" s="9" t="s">
        <v>495</v>
      </c>
      <c r="Y258" s="7" t="s">
        <v>506</v>
      </c>
      <c r="Z258" s="16">
        <v>4</v>
      </c>
      <c r="AA258" s="17">
        <f t="shared" si="47"/>
        <v>1</v>
      </c>
      <c r="AB258" s="9" t="s">
        <v>141</v>
      </c>
    </row>
    <row r="259" spans="2:28">
      <c r="B259" s="189">
        <f t="shared" si="49"/>
        <v>3</v>
      </c>
      <c r="C259" s="112" t="str">
        <f t="shared" si="50"/>
        <v>ATK</v>
      </c>
      <c r="D259" s="7" t="s">
        <v>404</v>
      </c>
      <c r="E259" s="8" t="s">
        <v>1114</v>
      </c>
      <c r="F259" s="8" t="s">
        <v>1090</v>
      </c>
      <c r="G259" s="113">
        <f t="shared" si="51"/>
        <v>1</v>
      </c>
      <c r="H259" s="113" t="str">
        <f t="shared" si="52"/>
        <v>완료</v>
      </c>
      <c r="I259" s="117" t="s">
        <v>412</v>
      </c>
      <c r="J259" s="9" t="s">
        <v>491</v>
      </c>
      <c r="K259" s="10" t="s">
        <v>279</v>
      </c>
      <c r="L259" s="11" t="str">
        <f t="shared" si="48"/>
        <v>5T</v>
      </c>
      <c r="M259" s="18" t="s">
        <v>423</v>
      </c>
      <c r="N259" s="12" t="s">
        <v>423</v>
      </c>
      <c r="O259" s="18" t="s">
        <v>417</v>
      </c>
      <c r="P259" s="197" t="s">
        <v>417</v>
      </c>
      <c r="Q259" s="120" t="s">
        <v>1118</v>
      </c>
      <c r="R259" s="13" t="s">
        <v>506</v>
      </c>
      <c r="S259" s="7">
        <v>1</v>
      </c>
      <c r="T259" s="14">
        <v>2000</v>
      </c>
      <c r="U259" s="15">
        <f t="shared" si="45"/>
        <v>1000</v>
      </c>
      <c r="V259" s="14">
        <v>20</v>
      </c>
      <c r="W259" s="15">
        <f t="shared" si="46"/>
        <v>980</v>
      </c>
      <c r="X259" s="9" t="s">
        <v>495</v>
      </c>
      <c r="Y259" s="7" t="s">
        <v>506</v>
      </c>
      <c r="Z259" s="16">
        <v>4</v>
      </c>
      <c r="AA259" s="17">
        <f t="shared" si="47"/>
        <v>2</v>
      </c>
      <c r="AB259" s="9" t="s">
        <v>376</v>
      </c>
    </row>
    <row r="260" spans="2:28">
      <c r="B260" s="189">
        <f t="shared" si="49"/>
        <v>5</v>
      </c>
      <c r="C260" s="112" t="str">
        <f t="shared" si="50"/>
        <v>ATK</v>
      </c>
      <c r="D260" s="7" t="s">
        <v>1119</v>
      </c>
      <c r="E260" s="8" t="s">
        <v>1114</v>
      </c>
      <c r="F260" s="8" t="s">
        <v>946</v>
      </c>
      <c r="G260" s="113">
        <f t="shared" si="51"/>
        <v>2</v>
      </c>
      <c r="H260" s="113" t="str">
        <f t="shared" si="52"/>
        <v>Other</v>
      </c>
      <c r="I260" s="117" t="s">
        <v>401</v>
      </c>
      <c r="J260" s="9" t="s">
        <v>198</v>
      </c>
      <c r="K260" s="10" t="s">
        <v>145</v>
      </c>
      <c r="L260" s="11" t="str">
        <f t="shared" si="48"/>
        <v>3T</v>
      </c>
      <c r="M260" s="18" t="s">
        <v>182</v>
      </c>
      <c r="N260" s="12" t="s">
        <v>278</v>
      </c>
      <c r="O260" s="18" t="s">
        <v>182</v>
      </c>
      <c r="P260" s="197" t="s">
        <v>506</v>
      </c>
      <c r="Q260" s="120" t="s">
        <v>1120</v>
      </c>
      <c r="R260" s="13" t="s">
        <v>506</v>
      </c>
      <c r="S260" s="7">
        <v>1</v>
      </c>
      <c r="T260" s="14">
        <v>910</v>
      </c>
      <c r="U260" s="15">
        <f t="shared" ref="U260:U323" si="53">(T260*50)/100*S260</f>
        <v>455</v>
      </c>
      <c r="V260" s="14">
        <v>0</v>
      </c>
      <c r="W260" s="15">
        <f t="shared" ref="W260:W323" si="54">U260-V260</f>
        <v>455</v>
      </c>
      <c r="X260" s="9" t="s">
        <v>495</v>
      </c>
      <c r="Y260" s="7" t="s">
        <v>506</v>
      </c>
      <c r="Z260" s="16">
        <v>3</v>
      </c>
      <c r="AA260" s="17">
        <f t="shared" ref="AA260:AA323" si="55">F260-E260</f>
        <v>15</v>
      </c>
      <c r="AB260" s="9" t="s">
        <v>494</v>
      </c>
    </row>
    <row r="261" spans="2:28">
      <c r="B261" s="189">
        <f t="shared" si="49"/>
        <v>2</v>
      </c>
      <c r="C261" s="112" t="str">
        <f t="shared" si="50"/>
        <v>ATK</v>
      </c>
      <c r="D261" s="7" t="s">
        <v>380</v>
      </c>
      <c r="E261" s="8" t="s">
        <v>1121</v>
      </c>
      <c r="F261" s="8" t="s">
        <v>1121</v>
      </c>
      <c r="G261" s="113">
        <f t="shared" si="51"/>
        <v>1</v>
      </c>
      <c r="H261" s="113" t="str">
        <f t="shared" si="52"/>
        <v>완료</v>
      </c>
      <c r="I261" s="117" t="s">
        <v>412</v>
      </c>
      <c r="J261" s="9" t="s">
        <v>381</v>
      </c>
      <c r="K261" s="10" t="s">
        <v>382</v>
      </c>
      <c r="L261" s="11" t="str">
        <f t="shared" si="48"/>
        <v>2T</v>
      </c>
      <c r="M261" s="18" t="s">
        <v>182</v>
      </c>
      <c r="N261" s="12" t="s">
        <v>383</v>
      </c>
      <c r="O261" s="18" t="s">
        <v>182</v>
      </c>
      <c r="P261" s="197" t="s">
        <v>506</v>
      </c>
      <c r="Q261" s="120" t="s">
        <v>1122</v>
      </c>
      <c r="R261" s="13" t="s">
        <v>506</v>
      </c>
      <c r="S261" s="7">
        <v>1</v>
      </c>
      <c r="T261" s="14">
        <v>351</v>
      </c>
      <c r="U261" s="15">
        <f t="shared" si="53"/>
        <v>175.5</v>
      </c>
      <c r="V261" s="14">
        <v>25</v>
      </c>
      <c r="W261" s="15">
        <f t="shared" si="54"/>
        <v>150.5</v>
      </c>
      <c r="X261" s="9" t="s">
        <v>495</v>
      </c>
      <c r="Y261" s="7" t="s">
        <v>506</v>
      </c>
      <c r="Z261" s="16">
        <v>2</v>
      </c>
      <c r="AA261" s="17">
        <f t="shared" si="55"/>
        <v>0</v>
      </c>
      <c r="AB261" s="9" t="s">
        <v>494</v>
      </c>
    </row>
    <row r="262" spans="2:28">
      <c r="B262" s="189">
        <f t="shared" si="49"/>
        <v>2</v>
      </c>
      <c r="C262" s="112" t="str">
        <f t="shared" si="50"/>
        <v>ATK</v>
      </c>
      <c r="D262" s="7" t="s">
        <v>384</v>
      </c>
      <c r="E262" s="8" t="s">
        <v>1121</v>
      </c>
      <c r="F262" s="8" t="s">
        <v>1121</v>
      </c>
      <c r="G262" s="113">
        <f t="shared" si="51"/>
        <v>1</v>
      </c>
      <c r="H262" s="113" t="str">
        <f t="shared" si="52"/>
        <v>완료</v>
      </c>
      <c r="I262" s="117" t="s">
        <v>412</v>
      </c>
      <c r="J262" s="9" t="s">
        <v>392</v>
      </c>
      <c r="K262" s="10" t="s">
        <v>393</v>
      </c>
      <c r="L262" s="11" t="str">
        <f t="shared" si="48"/>
        <v>EE</v>
      </c>
      <c r="M262" s="18" t="s">
        <v>385</v>
      </c>
      <c r="N262" s="12" t="s">
        <v>387</v>
      </c>
      <c r="O262" s="18" t="s">
        <v>386</v>
      </c>
      <c r="P262" s="197" t="s">
        <v>388</v>
      </c>
      <c r="Q262" s="120" t="s">
        <v>532</v>
      </c>
      <c r="R262" s="13" t="s">
        <v>506</v>
      </c>
      <c r="S262" s="7">
        <v>2</v>
      </c>
      <c r="T262" s="14">
        <v>4000</v>
      </c>
      <c r="U262" s="15">
        <f t="shared" si="53"/>
        <v>4000</v>
      </c>
      <c r="V262" s="14">
        <v>0</v>
      </c>
      <c r="W262" s="15">
        <f t="shared" si="54"/>
        <v>4000</v>
      </c>
      <c r="X262" s="9" t="s">
        <v>495</v>
      </c>
      <c r="Y262" s="7" t="s">
        <v>506</v>
      </c>
      <c r="Z262" s="16">
        <v>2</v>
      </c>
      <c r="AA262" s="17">
        <f t="shared" si="55"/>
        <v>0</v>
      </c>
      <c r="AB262" s="9" t="s">
        <v>213</v>
      </c>
    </row>
    <row r="263" spans="2:28">
      <c r="B263" s="189">
        <f t="shared" si="49"/>
        <v>4</v>
      </c>
      <c r="C263" s="112" t="str">
        <f t="shared" si="50"/>
        <v>ATK</v>
      </c>
      <c r="D263" s="7" t="s">
        <v>389</v>
      </c>
      <c r="E263" s="8" t="s">
        <v>1121</v>
      </c>
      <c r="F263" s="8" t="s">
        <v>1032</v>
      </c>
      <c r="G263" s="113">
        <f t="shared" si="51"/>
        <v>1</v>
      </c>
      <c r="H263" s="113" t="str">
        <f t="shared" si="52"/>
        <v>완료</v>
      </c>
      <c r="I263" s="117" t="s">
        <v>398</v>
      </c>
      <c r="J263" s="9" t="s">
        <v>381</v>
      </c>
      <c r="K263" s="10" t="s">
        <v>170</v>
      </c>
      <c r="L263" s="11" t="str">
        <f t="shared" si="48"/>
        <v>2T</v>
      </c>
      <c r="M263" s="18" t="s">
        <v>171</v>
      </c>
      <c r="N263" s="12" t="s">
        <v>423</v>
      </c>
      <c r="O263" s="18" t="s">
        <v>172</v>
      </c>
      <c r="P263" s="197" t="s">
        <v>188</v>
      </c>
      <c r="Q263" s="120" t="s">
        <v>1123</v>
      </c>
      <c r="R263" s="13" t="s">
        <v>214</v>
      </c>
      <c r="S263" s="7">
        <v>1</v>
      </c>
      <c r="T263" s="14">
        <v>6000</v>
      </c>
      <c r="U263" s="15">
        <f t="shared" si="53"/>
        <v>3000</v>
      </c>
      <c r="V263" s="14">
        <v>0</v>
      </c>
      <c r="W263" s="15">
        <f t="shared" si="54"/>
        <v>3000</v>
      </c>
      <c r="X263" s="9" t="s">
        <v>236</v>
      </c>
      <c r="Y263" s="7" t="s">
        <v>237</v>
      </c>
      <c r="Z263" s="16">
        <v>1</v>
      </c>
      <c r="AA263" s="17">
        <f t="shared" si="55"/>
        <v>12</v>
      </c>
      <c r="AB263" s="9" t="s">
        <v>213</v>
      </c>
    </row>
    <row r="264" spans="2:28">
      <c r="B264" s="189">
        <f t="shared" si="49"/>
        <v>4</v>
      </c>
      <c r="C264" s="112" t="str">
        <f t="shared" si="50"/>
        <v>ATK</v>
      </c>
      <c r="D264" s="7" t="s">
        <v>391</v>
      </c>
      <c r="E264" s="8" t="s">
        <v>1121</v>
      </c>
      <c r="F264" s="8" t="s">
        <v>1050</v>
      </c>
      <c r="G264" s="113">
        <f t="shared" si="51"/>
        <v>1</v>
      </c>
      <c r="H264" s="113" t="str">
        <f t="shared" si="52"/>
        <v>완료</v>
      </c>
      <c r="I264" s="117" t="s">
        <v>398</v>
      </c>
      <c r="J264" s="9" t="s">
        <v>392</v>
      </c>
      <c r="K264" s="10" t="s">
        <v>393</v>
      </c>
      <c r="L264" s="11" t="str">
        <f t="shared" si="48"/>
        <v>EE</v>
      </c>
      <c r="M264" s="18" t="s">
        <v>394</v>
      </c>
      <c r="N264" s="12" t="s">
        <v>423</v>
      </c>
      <c r="O264" s="18" t="s">
        <v>172</v>
      </c>
      <c r="P264" s="197" t="s">
        <v>188</v>
      </c>
      <c r="Q264" s="120" t="s">
        <v>1123</v>
      </c>
      <c r="R264" s="13" t="s">
        <v>395</v>
      </c>
      <c r="S264" s="7">
        <v>1</v>
      </c>
      <c r="T264" s="14">
        <v>6000</v>
      </c>
      <c r="U264" s="15">
        <f t="shared" si="53"/>
        <v>3000</v>
      </c>
      <c r="V264" s="14">
        <v>0</v>
      </c>
      <c r="W264" s="15">
        <f t="shared" si="54"/>
        <v>3000</v>
      </c>
      <c r="X264" s="9" t="s">
        <v>236</v>
      </c>
      <c r="Y264" s="7" t="s">
        <v>237</v>
      </c>
      <c r="Z264" s="16">
        <v>2</v>
      </c>
      <c r="AA264" s="17">
        <f t="shared" si="55"/>
        <v>11</v>
      </c>
      <c r="AB264" s="9" t="s">
        <v>213</v>
      </c>
    </row>
    <row r="265" spans="2:28">
      <c r="B265" s="189">
        <f t="shared" si="49"/>
        <v>2</v>
      </c>
      <c r="C265" s="112" t="str">
        <f t="shared" si="50"/>
        <v>ATK</v>
      </c>
      <c r="D265" s="7" t="s">
        <v>337</v>
      </c>
      <c r="E265" s="8" t="s">
        <v>1121</v>
      </c>
      <c r="F265" s="8" t="s">
        <v>1121</v>
      </c>
      <c r="G265" s="113">
        <f t="shared" si="51"/>
        <v>1</v>
      </c>
      <c r="H265" s="113" t="str">
        <f t="shared" si="52"/>
        <v>완료</v>
      </c>
      <c r="I265" s="117" t="s">
        <v>412</v>
      </c>
      <c r="J265" s="9" t="s">
        <v>338</v>
      </c>
      <c r="K265" s="10" t="s">
        <v>251</v>
      </c>
      <c r="L265" s="11" t="str">
        <f t="shared" si="48"/>
        <v>1T</v>
      </c>
      <c r="M265" s="18" t="s">
        <v>339</v>
      </c>
      <c r="N265" s="12" t="s">
        <v>436</v>
      </c>
      <c r="O265" s="18" t="s">
        <v>217</v>
      </c>
      <c r="P265" s="197" t="s">
        <v>218</v>
      </c>
      <c r="Q265" s="120" t="s">
        <v>1124</v>
      </c>
      <c r="R265" s="13" t="s">
        <v>506</v>
      </c>
      <c r="S265" s="7">
        <v>4</v>
      </c>
      <c r="T265" s="14">
        <v>1600</v>
      </c>
      <c r="U265" s="15">
        <f t="shared" si="53"/>
        <v>3200</v>
      </c>
      <c r="V265" s="14">
        <v>10</v>
      </c>
      <c r="W265" s="15">
        <f t="shared" si="54"/>
        <v>3190</v>
      </c>
      <c r="X265" s="9" t="s">
        <v>495</v>
      </c>
      <c r="Y265" s="7" t="s">
        <v>506</v>
      </c>
      <c r="Z265" s="16">
        <v>3</v>
      </c>
      <c r="AA265" s="17">
        <f t="shared" si="55"/>
        <v>0</v>
      </c>
      <c r="AB265" s="9" t="s">
        <v>213</v>
      </c>
    </row>
    <row r="266" spans="2:28">
      <c r="B266" s="189">
        <f t="shared" si="49"/>
        <v>5</v>
      </c>
      <c r="C266" s="112" t="str">
        <f t="shared" si="50"/>
        <v>ATK</v>
      </c>
      <c r="D266" s="7" t="s">
        <v>1125</v>
      </c>
      <c r="E266" s="8" t="s">
        <v>1121</v>
      </c>
      <c r="F266" s="8" t="s">
        <v>873</v>
      </c>
      <c r="G266" s="113">
        <f t="shared" si="51"/>
        <v>2</v>
      </c>
      <c r="H266" s="113" t="str">
        <f t="shared" si="52"/>
        <v>완료</v>
      </c>
      <c r="I266" s="117" t="s">
        <v>412</v>
      </c>
      <c r="J266" s="9" t="s">
        <v>377</v>
      </c>
      <c r="K266" s="10" t="s">
        <v>377</v>
      </c>
      <c r="L266" s="11" t="str">
        <f t="shared" si="48"/>
        <v>Bu</v>
      </c>
      <c r="M266" s="18" t="s">
        <v>1033</v>
      </c>
      <c r="N266" s="12" t="s">
        <v>889</v>
      </c>
      <c r="O266" s="18" t="s">
        <v>1126</v>
      </c>
      <c r="P266" s="197" t="s">
        <v>506</v>
      </c>
      <c r="Q266" s="120" t="s">
        <v>1127</v>
      </c>
      <c r="R266" s="13" t="s">
        <v>506</v>
      </c>
      <c r="S266" s="7">
        <v>2</v>
      </c>
      <c r="T266" s="14">
        <v>1500</v>
      </c>
      <c r="U266" s="15">
        <f t="shared" si="53"/>
        <v>1500</v>
      </c>
      <c r="V266" s="14">
        <v>5</v>
      </c>
      <c r="W266" s="15">
        <f t="shared" si="54"/>
        <v>1495</v>
      </c>
      <c r="X266" s="9" t="s">
        <v>495</v>
      </c>
      <c r="Y266" s="7" t="s">
        <v>506</v>
      </c>
      <c r="Z266" s="16">
        <v>2</v>
      </c>
      <c r="AA266" s="17">
        <f t="shared" si="55"/>
        <v>21</v>
      </c>
      <c r="AB266" s="9" t="s">
        <v>494</v>
      </c>
    </row>
    <row r="267" spans="2:28">
      <c r="B267" s="189">
        <f t="shared" si="49"/>
        <v>5</v>
      </c>
      <c r="C267" s="112" t="str">
        <f t="shared" si="50"/>
        <v>ATK</v>
      </c>
      <c r="D267" s="7" t="s">
        <v>1125</v>
      </c>
      <c r="E267" s="8" t="s">
        <v>1121</v>
      </c>
      <c r="F267" s="8" t="s">
        <v>873</v>
      </c>
      <c r="G267" s="113">
        <f t="shared" si="51"/>
        <v>2</v>
      </c>
      <c r="H267" s="113" t="str">
        <f t="shared" si="52"/>
        <v>완료</v>
      </c>
      <c r="I267" s="117" t="s">
        <v>412</v>
      </c>
      <c r="J267" s="9" t="s">
        <v>377</v>
      </c>
      <c r="K267" s="10" t="s">
        <v>377</v>
      </c>
      <c r="L267" s="11" t="str">
        <f t="shared" si="48"/>
        <v>Bu</v>
      </c>
      <c r="M267" s="18" t="s">
        <v>1033</v>
      </c>
      <c r="N267" s="12" t="s">
        <v>889</v>
      </c>
      <c r="O267" s="18" t="s">
        <v>1128</v>
      </c>
      <c r="P267" s="197" t="s">
        <v>506</v>
      </c>
      <c r="Q267" s="120" t="s">
        <v>1129</v>
      </c>
      <c r="R267" s="13" t="s">
        <v>506</v>
      </c>
      <c r="S267" s="7">
        <v>1</v>
      </c>
      <c r="T267" s="14">
        <v>800</v>
      </c>
      <c r="U267" s="15">
        <f t="shared" si="53"/>
        <v>400</v>
      </c>
      <c r="V267" s="14">
        <v>5</v>
      </c>
      <c r="W267" s="15">
        <f t="shared" si="54"/>
        <v>395</v>
      </c>
      <c r="X267" s="9" t="s">
        <v>495</v>
      </c>
      <c r="Y267" s="7" t="s">
        <v>506</v>
      </c>
      <c r="Z267" s="16">
        <v>3</v>
      </c>
      <c r="AA267" s="17">
        <f t="shared" si="55"/>
        <v>21</v>
      </c>
      <c r="AB267" s="9" t="s">
        <v>141</v>
      </c>
    </row>
    <row r="268" spans="2:28">
      <c r="B268" s="189">
        <f t="shared" si="49"/>
        <v>2</v>
      </c>
      <c r="C268" s="112" t="str">
        <f t="shared" si="50"/>
        <v>ATK</v>
      </c>
      <c r="D268" s="7" t="s">
        <v>346</v>
      </c>
      <c r="E268" s="8" t="s">
        <v>1130</v>
      </c>
      <c r="F268" s="8" t="s">
        <v>1130</v>
      </c>
      <c r="G268" s="113">
        <f t="shared" si="51"/>
        <v>1</v>
      </c>
      <c r="H268" s="113" t="str">
        <f t="shared" si="52"/>
        <v>완료</v>
      </c>
      <c r="I268" s="117" t="s">
        <v>412</v>
      </c>
      <c r="J268" s="9" t="s">
        <v>338</v>
      </c>
      <c r="K268" s="10" t="s">
        <v>347</v>
      </c>
      <c r="L268" s="11" t="str">
        <f t="shared" si="48"/>
        <v>1T</v>
      </c>
      <c r="M268" s="18" t="s">
        <v>506</v>
      </c>
      <c r="N268" s="12" t="s">
        <v>348</v>
      </c>
      <c r="O268" s="18" t="s">
        <v>349</v>
      </c>
      <c r="P268" s="197" t="s">
        <v>350</v>
      </c>
      <c r="Q268" s="120" t="s">
        <v>532</v>
      </c>
      <c r="R268" s="13" t="s">
        <v>506</v>
      </c>
      <c r="S268" s="7">
        <v>1</v>
      </c>
      <c r="T268" s="14">
        <v>2500</v>
      </c>
      <c r="U268" s="15">
        <f t="shared" si="53"/>
        <v>1250</v>
      </c>
      <c r="V268" s="14">
        <v>1</v>
      </c>
      <c r="W268" s="15">
        <f t="shared" si="54"/>
        <v>1249</v>
      </c>
      <c r="X268" s="9" t="s">
        <v>495</v>
      </c>
      <c r="Y268" s="7" t="s">
        <v>506</v>
      </c>
      <c r="Z268" s="16">
        <v>1</v>
      </c>
      <c r="AA268" s="17">
        <f t="shared" si="55"/>
        <v>0</v>
      </c>
      <c r="AB268" s="9" t="s">
        <v>213</v>
      </c>
    </row>
    <row r="269" spans="2:28">
      <c r="B269" s="189">
        <f t="shared" si="49"/>
        <v>2</v>
      </c>
      <c r="C269" s="112" t="str">
        <f t="shared" si="50"/>
        <v>ATK</v>
      </c>
      <c r="D269" s="7" t="s">
        <v>351</v>
      </c>
      <c r="E269" s="8" t="s">
        <v>1130</v>
      </c>
      <c r="F269" s="8" t="s">
        <v>1130</v>
      </c>
      <c r="G269" s="113">
        <f t="shared" si="51"/>
        <v>1</v>
      </c>
      <c r="H269" s="113" t="str">
        <f t="shared" si="52"/>
        <v>완료</v>
      </c>
      <c r="I269" s="117" t="s">
        <v>412</v>
      </c>
      <c r="J269" s="9" t="s">
        <v>352</v>
      </c>
      <c r="K269" s="10" t="s">
        <v>352</v>
      </c>
      <c r="L269" s="11" t="str">
        <f t="shared" si="48"/>
        <v>K5</v>
      </c>
      <c r="M269" s="18" t="s">
        <v>394</v>
      </c>
      <c r="N269" s="12" t="s">
        <v>353</v>
      </c>
      <c r="O269" s="18" t="s">
        <v>349</v>
      </c>
      <c r="P269" s="197" t="s">
        <v>354</v>
      </c>
      <c r="Q269" s="120" t="s">
        <v>1131</v>
      </c>
      <c r="R269" s="13" t="s">
        <v>506</v>
      </c>
      <c r="S269" s="7">
        <v>1</v>
      </c>
      <c r="T269" s="14">
        <v>3000</v>
      </c>
      <c r="U269" s="15">
        <f t="shared" si="53"/>
        <v>1500</v>
      </c>
      <c r="V269" s="14">
        <v>1</v>
      </c>
      <c r="W269" s="15">
        <f t="shared" si="54"/>
        <v>1499</v>
      </c>
      <c r="X269" s="9" t="s">
        <v>495</v>
      </c>
      <c r="Y269" s="7" t="s">
        <v>506</v>
      </c>
      <c r="Z269" s="16">
        <v>2</v>
      </c>
      <c r="AA269" s="17">
        <f t="shared" si="55"/>
        <v>0</v>
      </c>
      <c r="AB269" s="9" t="s">
        <v>494</v>
      </c>
    </row>
    <row r="270" spans="2:28">
      <c r="B270" s="189">
        <f t="shared" si="49"/>
        <v>2</v>
      </c>
      <c r="C270" s="112" t="str">
        <f t="shared" si="50"/>
        <v>ATK</v>
      </c>
      <c r="D270" s="7" t="s">
        <v>364</v>
      </c>
      <c r="E270" s="8" t="s">
        <v>1130</v>
      </c>
      <c r="F270" s="8" t="s">
        <v>1130</v>
      </c>
      <c r="G270" s="113">
        <f t="shared" si="51"/>
        <v>1</v>
      </c>
      <c r="H270" s="113" t="str">
        <f t="shared" si="52"/>
        <v>완료</v>
      </c>
      <c r="I270" s="117" t="s">
        <v>412</v>
      </c>
      <c r="J270" s="9" t="s">
        <v>338</v>
      </c>
      <c r="K270" s="10" t="s">
        <v>251</v>
      </c>
      <c r="L270" s="11" t="str">
        <f t="shared" si="48"/>
        <v>1T</v>
      </c>
      <c r="M270" s="18" t="s">
        <v>365</v>
      </c>
      <c r="N270" s="12" t="s">
        <v>366</v>
      </c>
      <c r="O270" s="18" t="s">
        <v>367</v>
      </c>
      <c r="P270" s="197" t="s">
        <v>368</v>
      </c>
      <c r="Q270" s="120" t="s">
        <v>1132</v>
      </c>
      <c r="R270" s="13" t="s">
        <v>506</v>
      </c>
      <c r="S270" s="7">
        <v>1</v>
      </c>
      <c r="T270" s="14">
        <v>80</v>
      </c>
      <c r="U270" s="15">
        <f t="shared" si="53"/>
        <v>40</v>
      </c>
      <c r="V270" s="14">
        <v>0</v>
      </c>
      <c r="W270" s="15">
        <f t="shared" si="54"/>
        <v>40</v>
      </c>
      <c r="X270" s="9" t="s">
        <v>495</v>
      </c>
      <c r="Y270" s="7" t="s">
        <v>506</v>
      </c>
      <c r="Z270" s="16">
        <v>1</v>
      </c>
      <c r="AA270" s="17">
        <f t="shared" si="55"/>
        <v>0</v>
      </c>
      <c r="AB270" s="9" t="s">
        <v>422</v>
      </c>
    </row>
    <row r="271" spans="2:28">
      <c r="B271" s="189">
        <f t="shared" si="49"/>
        <v>2</v>
      </c>
      <c r="C271" s="112" t="str">
        <f t="shared" si="50"/>
        <v>ATK</v>
      </c>
      <c r="D271" s="7" t="s">
        <v>337</v>
      </c>
      <c r="E271" s="8" t="s">
        <v>1130</v>
      </c>
      <c r="F271" s="8" t="s">
        <v>1130</v>
      </c>
      <c r="G271" s="113">
        <f t="shared" si="51"/>
        <v>1</v>
      </c>
      <c r="H271" s="113" t="str">
        <f t="shared" si="52"/>
        <v>완료</v>
      </c>
      <c r="I271" s="117" t="s">
        <v>412</v>
      </c>
      <c r="J271" s="9" t="s">
        <v>338</v>
      </c>
      <c r="K271" s="10" t="s">
        <v>251</v>
      </c>
      <c r="L271" s="11" t="str">
        <f t="shared" si="48"/>
        <v>1T</v>
      </c>
      <c r="M271" s="18" t="s">
        <v>339</v>
      </c>
      <c r="N271" s="12" t="s">
        <v>369</v>
      </c>
      <c r="O271" s="18" t="s">
        <v>370</v>
      </c>
      <c r="P271" s="197" t="s">
        <v>369</v>
      </c>
      <c r="Q271" s="120" t="s">
        <v>1133</v>
      </c>
      <c r="R271" s="13" t="s">
        <v>506</v>
      </c>
      <c r="S271" s="7">
        <v>1</v>
      </c>
      <c r="T271" s="14">
        <v>250</v>
      </c>
      <c r="U271" s="15">
        <f t="shared" si="53"/>
        <v>125</v>
      </c>
      <c r="V271" s="14">
        <v>0</v>
      </c>
      <c r="W271" s="15">
        <f t="shared" si="54"/>
        <v>125</v>
      </c>
      <c r="X271" s="9" t="s">
        <v>495</v>
      </c>
      <c r="Y271" s="7" t="s">
        <v>506</v>
      </c>
      <c r="Z271" s="16">
        <v>1</v>
      </c>
      <c r="AA271" s="17">
        <f t="shared" si="55"/>
        <v>0</v>
      </c>
      <c r="AB271" s="9" t="s">
        <v>422</v>
      </c>
    </row>
    <row r="272" spans="2:28">
      <c r="B272" s="189">
        <f t="shared" si="49"/>
        <v>2</v>
      </c>
      <c r="C272" s="112" t="str">
        <f t="shared" si="50"/>
        <v>ATK</v>
      </c>
      <c r="D272" s="7" t="s">
        <v>374</v>
      </c>
      <c r="E272" s="8" t="s">
        <v>1130</v>
      </c>
      <c r="F272" s="8" t="s">
        <v>1130</v>
      </c>
      <c r="G272" s="113">
        <f t="shared" si="51"/>
        <v>1</v>
      </c>
      <c r="H272" s="113" t="str">
        <f t="shared" si="52"/>
        <v>완료</v>
      </c>
      <c r="I272" s="117" t="s">
        <v>412</v>
      </c>
      <c r="J272" s="9" t="s">
        <v>381</v>
      </c>
      <c r="K272" s="10" t="s">
        <v>170</v>
      </c>
      <c r="L272" s="11" t="str">
        <f t="shared" si="48"/>
        <v>2T</v>
      </c>
      <c r="M272" s="18" t="s">
        <v>258</v>
      </c>
      <c r="N272" s="12" t="s">
        <v>375</v>
      </c>
      <c r="O272" s="18" t="s">
        <v>1134</v>
      </c>
      <c r="P272" s="197" t="s">
        <v>323</v>
      </c>
      <c r="Q272" s="120" t="s">
        <v>1135</v>
      </c>
      <c r="R272" s="13" t="s">
        <v>506</v>
      </c>
      <c r="S272" s="7">
        <v>1</v>
      </c>
      <c r="T272" s="14">
        <v>1000</v>
      </c>
      <c r="U272" s="15">
        <f t="shared" si="53"/>
        <v>500</v>
      </c>
      <c r="V272" s="14">
        <v>3</v>
      </c>
      <c r="W272" s="15">
        <f t="shared" si="54"/>
        <v>497</v>
      </c>
      <c r="X272" s="9" t="s">
        <v>495</v>
      </c>
      <c r="Y272" s="7" t="s">
        <v>506</v>
      </c>
      <c r="Z272" s="16">
        <v>4</v>
      </c>
      <c r="AA272" s="17">
        <f t="shared" si="55"/>
        <v>0</v>
      </c>
      <c r="AB272" s="9" t="s">
        <v>141</v>
      </c>
    </row>
    <row r="273" spans="2:28">
      <c r="B273" s="189">
        <f t="shared" si="49"/>
        <v>2</v>
      </c>
      <c r="C273" s="112" t="str">
        <f t="shared" si="50"/>
        <v>ATK</v>
      </c>
      <c r="D273" s="7" t="s">
        <v>379</v>
      </c>
      <c r="E273" s="8" t="s">
        <v>1130</v>
      </c>
      <c r="F273" s="8" t="s">
        <v>1121</v>
      </c>
      <c r="G273" s="113">
        <f t="shared" si="51"/>
        <v>1</v>
      </c>
      <c r="H273" s="113" t="str">
        <f t="shared" si="52"/>
        <v>완료</v>
      </c>
      <c r="I273" s="117" t="s">
        <v>412</v>
      </c>
      <c r="J273" s="9" t="s">
        <v>392</v>
      </c>
      <c r="K273" s="10" t="s">
        <v>393</v>
      </c>
      <c r="L273" s="11" t="str">
        <f t="shared" si="48"/>
        <v>EE</v>
      </c>
      <c r="M273" s="18" t="s">
        <v>377</v>
      </c>
      <c r="N273" s="12" t="s">
        <v>378</v>
      </c>
      <c r="O273" s="18" t="s">
        <v>169</v>
      </c>
      <c r="P273" s="197" t="s">
        <v>506</v>
      </c>
      <c r="Q273" s="120" t="s">
        <v>1136</v>
      </c>
      <c r="R273" s="13" t="s">
        <v>506</v>
      </c>
      <c r="S273" s="7">
        <v>5</v>
      </c>
      <c r="T273" s="14">
        <v>100</v>
      </c>
      <c r="U273" s="15">
        <f t="shared" si="53"/>
        <v>250</v>
      </c>
      <c r="V273" s="14">
        <v>25</v>
      </c>
      <c r="W273" s="15">
        <f t="shared" si="54"/>
        <v>225</v>
      </c>
      <c r="X273" s="9" t="s">
        <v>495</v>
      </c>
      <c r="Y273" s="7" t="s">
        <v>506</v>
      </c>
      <c r="Z273" s="16">
        <v>4</v>
      </c>
      <c r="AA273" s="17">
        <f t="shared" si="55"/>
        <v>1</v>
      </c>
      <c r="AB273" s="9" t="s">
        <v>494</v>
      </c>
    </row>
    <row r="274" spans="2:28">
      <c r="B274" s="189">
        <f t="shared" si="49"/>
        <v>4</v>
      </c>
      <c r="C274" s="112" t="str">
        <f t="shared" si="50"/>
        <v>ATK</v>
      </c>
      <c r="D274" s="7" t="s">
        <v>337</v>
      </c>
      <c r="E274" s="8" t="s">
        <v>1130</v>
      </c>
      <c r="F274" s="8" t="s">
        <v>1020</v>
      </c>
      <c r="G274" s="113">
        <f t="shared" si="51"/>
        <v>1</v>
      </c>
      <c r="H274" s="113" t="str">
        <f t="shared" si="52"/>
        <v>완료</v>
      </c>
      <c r="I274" s="117" t="s">
        <v>412</v>
      </c>
      <c r="J274" s="9" t="s">
        <v>338</v>
      </c>
      <c r="K274" s="10" t="s">
        <v>251</v>
      </c>
      <c r="L274" s="11" t="str">
        <f t="shared" si="48"/>
        <v>1T</v>
      </c>
      <c r="M274" s="18" t="s">
        <v>1137</v>
      </c>
      <c r="N274" s="12" t="s">
        <v>1138</v>
      </c>
      <c r="O274" s="18" t="s">
        <v>1139</v>
      </c>
      <c r="P274" s="197" t="s">
        <v>1139</v>
      </c>
      <c r="Q274" s="120" t="s">
        <v>1140</v>
      </c>
      <c r="R274" s="13" t="s">
        <v>506</v>
      </c>
      <c r="S274" s="7">
        <v>1</v>
      </c>
      <c r="T274" s="14">
        <v>2000</v>
      </c>
      <c r="U274" s="15">
        <f t="shared" si="53"/>
        <v>1000</v>
      </c>
      <c r="V274" s="14">
        <v>30</v>
      </c>
      <c r="W274" s="15">
        <f t="shared" si="54"/>
        <v>970</v>
      </c>
      <c r="X274" s="9" t="s">
        <v>495</v>
      </c>
      <c r="Y274" s="7" t="s">
        <v>506</v>
      </c>
      <c r="Z274" s="16">
        <v>4</v>
      </c>
      <c r="AA274" s="17">
        <f t="shared" si="55"/>
        <v>14</v>
      </c>
      <c r="AB274" s="9" t="s">
        <v>376</v>
      </c>
    </row>
    <row r="275" spans="2:28">
      <c r="B275" s="189">
        <f t="shared" si="49"/>
        <v>4</v>
      </c>
      <c r="C275" s="112" t="str">
        <f t="shared" si="50"/>
        <v>ATK</v>
      </c>
      <c r="D275" s="7" t="s">
        <v>942</v>
      </c>
      <c r="E275" s="8" t="s">
        <v>1130</v>
      </c>
      <c r="F275" s="8" t="s">
        <v>1020</v>
      </c>
      <c r="G275" s="113">
        <f t="shared" si="51"/>
        <v>1</v>
      </c>
      <c r="H275" s="113" t="str">
        <f t="shared" si="52"/>
        <v>완료</v>
      </c>
      <c r="I275" s="117" t="s">
        <v>412</v>
      </c>
      <c r="J275" s="9" t="s">
        <v>162</v>
      </c>
      <c r="K275" s="10" t="s">
        <v>163</v>
      </c>
      <c r="L275" s="11" t="str">
        <f t="shared" si="48"/>
        <v>6T</v>
      </c>
      <c r="M275" s="18" t="s">
        <v>182</v>
      </c>
      <c r="N275" s="12" t="s">
        <v>278</v>
      </c>
      <c r="O275" s="18" t="s">
        <v>182</v>
      </c>
      <c r="P275" s="197" t="s">
        <v>506</v>
      </c>
      <c r="Q275" s="120" t="s">
        <v>1141</v>
      </c>
      <c r="R275" s="13" t="s">
        <v>506</v>
      </c>
      <c r="S275" s="7">
        <v>1</v>
      </c>
      <c r="T275" s="14">
        <v>910</v>
      </c>
      <c r="U275" s="15">
        <f t="shared" si="53"/>
        <v>455</v>
      </c>
      <c r="V275" s="14">
        <v>50</v>
      </c>
      <c r="W275" s="15">
        <f t="shared" si="54"/>
        <v>405</v>
      </c>
      <c r="X275" s="9" t="s">
        <v>495</v>
      </c>
      <c r="Y275" s="7" t="s">
        <v>506</v>
      </c>
      <c r="Z275" s="16">
        <v>1</v>
      </c>
      <c r="AA275" s="17">
        <f t="shared" si="55"/>
        <v>14</v>
      </c>
      <c r="AB275" s="9" t="s">
        <v>494</v>
      </c>
    </row>
    <row r="276" spans="2:28">
      <c r="B276" s="189">
        <f t="shared" si="49"/>
        <v>2</v>
      </c>
      <c r="C276" s="112" t="str">
        <f t="shared" si="50"/>
        <v>ATK</v>
      </c>
      <c r="D276" s="7" t="s">
        <v>374</v>
      </c>
      <c r="E276" s="8" t="s">
        <v>1142</v>
      </c>
      <c r="F276" s="8" t="s">
        <v>1142</v>
      </c>
      <c r="G276" s="113">
        <f t="shared" si="51"/>
        <v>1</v>
      </c>
      <c r="H276" s="113" t="str">
        <f t="shared" si="52"/>
        <v>완료</v>
      </c>
      <c r="I276" s="117" t="s">
        <v>412</v>
      </c>
      <c r="J276" s="9" t="s">
        <v>381</v>
      </c>
      <c r="K276" s="10" t="s">
        <v>170</v>
      </c>
      <c r="L276" s="11" t="str">
        <f t="shared" si="48"/>
        <v>2T</v>
      </c>
      <c r="M276" s="18" t="s">
        <v>258</v>
      </c>
      <c r="N276" s="12" t="s">
        <v>323</v>
      </c>
      <c r="O276" s="18" t="s">
        <v>1134</v>
      </c>
      <c r="P276" s="197" t="s">
        <v>506</v>
      </c>
      <c r="Q276" s="120" t="s">
        <v>1143</v>
      </c>
      <c r="R276" s="13" t="s">
        <v>506</v>
      </c>
      <c r="S276" s="7">
        <v>2</v>
      </c>
      <c r="T276" s="14">
        <v>1000</v>
      </c>
      <c r="U276" s="15">
        <f t="shared" si="53"/>
        <v>1000</v>
      </c>
      <c r="V276" s="14">
        <v>20</v>
      </c>
      <c r="W276" s="15">
        <f t="shared" si="54"/>
        <v>980</v>
      </c>
      <c r="X276" s="9" t="s">
        <v>495</v>
      </c>
      <c r="Y276" s="7" t="s">
        <v>506</v>
      </c>
      <c r="Z276" s="16">
        <v>4</v>
      </c>
      <c r="AA276" s="17">
        <f t="shared" si="55"/>
        <v>0</v>
      </c>
      <c r="AB276" s="9" t="s">
        <v>141</v>
      </c>
    </row>
    <row r="277" spans="2:28">
      <c r="B277" s="189">
        <f t="shared" si="49"/>
        <v>2</v>
      </c>
      <c r="C277" s="112" t="str">
        <f t="shared" si="50"/>
        <v>ATK</v>
      </c>
      <c r="D277" s="7" t="s">
        <v>324</v>
      </c>
      <c r="E277" s="8" t="s">
        <v>1142</v>
      </c>
      <c r="F277" s="8" t="s">
        <v>1142</v>
      </c>
      <c r="G277" s="113">
        <f t="shared" si="51"/>
        <v>1</v>
      </c>
      <c r="H277" s="113" t="str">
        <f t="shared" si="52"/>
        <v>완료</v>
      </c>
      <c r="I277" s="117" t="s">
        <v>412</v>
      </c>
      <c r="J277" s="9" t="s">
        <v>198</v>
      </c>
      <c r="K277" s="10" t="s">
        <v>199</v>
      </c>
      <c r="L277" s="11" t="str">
        <f t="shared" si="48"/>
        <v>3T</v>
      </c>
      <c r="M277" s="18" t="s">
        <v>173</v>
      </c>
      <c r="N277" s="12" t="s">
        <v>174</v>
      </c>
      <c r="O277" s="18" t="s">
        <v>175</v>
      </c>
      <c r="P277" s="197" t="s">
        <v>189</v>
      </c>
      <c r="Q277" s="120" t="s">
        <v>532</v>
      </c>
      <c r="R277" s="13" t="s">
        <v>506</v>
      </c>
      <c r="S277" s="7">
        <v>1</v>
      </c>
      <c r="T277" s="14">
        <v>600</v>
      </c>
      <c r="U277" s="15">
        <f t="shared" si="53"/>
        <v>300</v>
      </c>
      <c r="V277" s="14">
        <v>5</v>
      </c>
      <c r="W277" s="15">
        <f t="shared" si="54"/>
        <v>295</v>
      </c>
      <c r="X277" s="9" t="s">
        <v>495</v>
      </c>
      <c r="Y277" s="7" t="s">
        <v>506</v>
      </c>
      <c r="Z277" s="16">
        <v>1</v>
      </c>
      <c r="AA277" s="17">
        <f t="shared" si="55"/>
        <v>0</v>
      </c>
      <c r="AB277" s="9" t="s">
        <v>213</v>
      </c>
    </row>
    <row r="278" spans="2:28">
      <c r="B278" s="189">
        <f t="shared" si="49"/>
        <v>2</v>
      </c>
      <c r="C278" s="112" t="str">
        <f t="shared" si="50"/>
        <v>ATK</v>
      </c>
      <c r="D278" s="7" t="s">
        <v>325</v>
      </c>
      <c r="E278" s="8" t="s">
        <v>1142</v>
      </c>
      <c r="F278" s="8" t="s">
        <v>1142</v>
      </c>
      <c r="G278" s="113">
        <f t="shared" si="51"/>
        <v>1</v>
      </c>
      <c r="H278" s="113" t="str">
        <f t="shared" si="52"/>
        <v>Other</v>
      </c>
      <c r="I278" s="117" t="s">
        <v>419</v>
      </c>
      <c r="J278" s="9" t="s">
        <v>454</v>
      </c>
      <c r="K278" s="10" t="s">
        <v>454</v>
      </c>
      <c r="L278" s="11" t="str">
        <f t="shared" si="48"/>
        <v>인사</v>
      </c>
      <c r="M278" s="18" t="s">
        <v>326</v>
      </c>
      <c r="N278" s="12" t="s">
        <v>327</v>
      </c>
      <c r="O278" s="18" t="s">
        <v>328</v>
      </c>
      <c r="P278" s="197" t="s">
        <v>506</v>
      </c>
      <c r="Q278" s="120" t="s">
        <v>1144</v>
      </c>
      <c r="R278" s="13" t="s">
        <v>506</v>
      </c>
      <c r="S278" s="7">
        <v>1</v>
      </c>
      <c r="T278" s="14">
        <v>0</v>
      </c>
      <c r="U278" s="15">
        <f t="shared" si="53"/>
        <v>0</v>
      </c>
      <c r="V278" s="14">
        <v>0</v>
      </c>
      <c r="W278" s="15">
        <f t="shared" si="54"/>
        <v>0</v>
      </c>
      <c r="X278" s="9" t="s">
        <v>495</v>
      </c>
      <c r="Y278" s="7" t="s">
        <v>506</v>
      </c>
      <c r="Z278" s="16">
        <v>4</v>
      </c>
      <c r="AA278" s="17">
        <f t="shared" si="55"/>
        <v>0</v>
      </c>
      <c r="AB278" s="9" t="s">
        <v>494</v>
      </c>
    </row>
    <row r="279" spans="2:28">
      <c r="B279" s="189">
        <f t="shared" si="49"/>
        <v>2</v>
      </c>
      <c r="C279" s="112" t="str">
        <f t="shared" si="50"/>
        <v>ATK</v>
      </c>
      <c r="D279" s="7" t="s">
        <v>325</v>
      </c>
      <c r="E279" s="8" t="s">
        <v>1142</v>
      </c>
      <c r="F279" s="8" t="s">
        <v>1142</v>
      </c>
      <c r="G279" s="113">
        <f t="shared" si="51"/>
        <v>1</v>
      </c>
      <c r="H279" s="113" t="str">
        <f t="shared" si="52"/>
        <v>Other</v>
      </c>
      <c r="I279" s="117" t="s">
        <v>419</v>
      </c>
      <c r="J279" s="9" t="s">
        <v>454</v>
      </c>
      <c r="K279" s="10" t="s">
        <v>454</v>
      </c>
      <c r="L279" s="11" t="str">
        <f t="shared" si="48"/>
        <v>인사</v>
      </c>
      <c r="M279" s="18" t="s">
        <v>326</v>
      </c>
      <c r="N279" s="12" t="s">
        <v>327</v>
      </c>
      <c r="O279" s="18" t="s">
        <v>328</v>
      </c>
      <c r="P279" s="197" t="s">
        <v>506</v>
      </c>
      <c r="Q279" s="120" t="s">
        <v>1144</v>
      </c>
      <c r="R279" s="13" t="s">
        <v>506</v>
      </c>
      <c r="S279" s="7">
        <v>1</v>
      </c>
      <c r="T279" s="14">
        <v>0</v>
      </c>
      <c r="U279" s="15">
        <f t="shared" si="53"/>
        <v>0</v>
      </c>
      <c r="V279" s="14">
        <v>0</v>
      </c>
      <c r="W279" s="15">
        <f t="shared" si="54"/>
        <v>0</v>
      </c>
      <c r="X279" s="9" t="s">
        <v>495</v>
      </c>
      <c r="Y279" s="7" t="s">
        <v>506</v>
      </c>
      <c r="Z279" s="16">
        <v>4</v>
      </c>
      <c r="AA279" s="17">
        <f t="shared" si="55"/>
        <v>0</v>
      </c>
      <c r="AB279" s="9" t="s">
        <v>376</v>
      </c>
    </row>
    <row r="280" spans="2:28">
      <c r="B280" s="189">
        <f t="shared" si="49"/>
        <v>2</v>
      </c>
      <c r="C280" s="112" t="str">
        <f t="shared" si="50"/>
        <v>ATK</v>
      </c>
      <c r="D280" s="7" t="s">
        <v>325</v>
      </c>
      <c r="E280" s="8" t="s">
        <v>1142</v>
      </c>
      <c r="F280" s="8" t="s">
        <v>1142</v>
      </c>
      <c r="G280" s="113">
        <f t="shared" si="51"/>
        <v>1</v>
      </c>
      <c r="H280" s="113" t="str">
        <f t="shared" si="52"/>
        <v>Other</v>
      </c>
      <c r="I280" s="117" t="s">
        <v>419</v>
      </c>
      <c r="J280" s="9" t="s">
        <v>454</v>
      </c>
      <c r="K280" s="10" t="s">
        <v>454</v>
      </c>
      <c r="L280" s="11" t="str">
        <f t="shared" si="48"/>
        <v>인사</v>
      </c>
      <c r="M280" s="18" t="s">
        <v>326</v>
      </c>
      <c r="N280" s="12" t="s">
        <v>327</v>
      </c>
      <c r="O280" s="18" t="s">
        <v>328</v>
      </c>
      <c r="P280" s="197" t="s">
        <v>506</v>
      </c>
      <c r="Q280" s="120" t="s">
        <v>1144</v>
      </c>
      <c r="R280" s="13" t="s">
        <v>506</v>
      </c>
      <c r="S280" s="7">
        <v>1</v>
      </c>
      <c r="T280" s="14">
        <v>0</v>
      </c>
      <c r="U280" s="15">
        <f t="shared" si="53"/>
        <v>0</v>
      </c>
      <c r="V280" s="14">
        <v>0</v>
      </c>
      <c r="W280" s="15">
        <f t="shared" si="54"/>
        <v>0</v>
      </c>
      <c r="X280" s="9" t="s">
        <v>495</v>
      </c>
      <c r="Y280" s="7" t="s">
        <v>506</v>
      </c>
      <c r="Z280" s="16">
        <v>4</v>
      </c>
      <c r="AA280" s="17">
        <f t="shared" si="55"/>
        <v>0</v>
      </c>
      <c r="AB280" s="9" t="s">
        <v>213</v>
      </c>
    </row>
    <row r="281" spans="2:28" ht="24">
      <c r="B281" s="189">
        <f t="shared" si="49"/>
        <v>2</v>
      </c>
      <c r="C281" s="112" t="str">
        <f t="shared" si="50"/>
        <v>ATK</v>
      </c>
      <c r="D281" s="7" t="s">
        <v>287</v>
      </c>
      <c r="E281" s="8" t="s">
        <v>1142</v>
      </c>
      <c r="F281" s="8" t="s">
        <v>1142</v>
      </c>
      <c r="G281" s="113">
        <f t="shared" si="51"/>
        <v>1</v>
      </c>
      <c r="H281" s="113" t="str">
        <f t="shared" si="52"/>
        <v>완료</v>
      </c>
      <c r="I281" s="117" t="s">
        <v>412</v>
      </c>
      <c r="J281" s="9" t="s">
        <v>198</v>
      </c>
      <c r="K281" s="10" t="s">
        <v>199</v>
      </c>
      <c r="L281" s="11" t="str">
        <f t="shared" si="48"/>
        <v>3T</v>
      </c>
      <c r="M281" s="18" t="s">
        <v>192</v>
      </c>
      <c r="N281" s="12" t="s">
        <v>506</v>
      </c>
      <c r="O281" s="18" t="s">
        <v>333</v>
      </c>
      <c r="P281" s="197" t="s">
        <v>332</v>
      </c>
      <c r="Q281" s="120" t="s">
        <v>1145</v>
      </c>
      <c r="R281" s="13" t="s">
        <v>506</v>
      </c>
      <c r="S281" s="7">
        <v>1</v>
      </c>
      <c r="T281" s="14">
        <v>1000</v>
      </c>
      <c r="U281" s="15">
        <f t="shared" si="53"/>
        <v>500</v>
      </c>
      <c r="V281" s="14">
        <v>30</v>
      </c>
      <c r="W281" s="15">
        <f t="shared" si="54"/>
        <v>470</v>
      </c>
      <c r="X281" s="9" t="s">
        <v>495</v>
      </c>
      <c r="Y281" s="7" t="s">
        <v>506</v>
      </c>
      <c r="Z281" s="16">
        <v>3</v>
      </c>
      <c r="AA281" s="17">
        <f t="shared" si="55"/>
        <v>0</v>
      </c>
      <c r="AB281" s="9" t="s">
        <v>141</v>
      </c>
    </row>
    <row r="282" spans="2:28">
      <c r="B282" s="189">
        <f t="shared" si="49"/>
        <v>2</v>
      </c>
      <c r="C282" s="112" t="str">
        <f t="shared" si="50"/>
        <v>ATK</v>
      </c>
      <c r="D282" s="7" t="s">
        <v>287</v>
      </c>
      <c r="E282" s="8" t="s">
        <v>1142</v>
      </c>
      <c r="F282" s="8" t="s">
        <v>1130</v>
      </c>
      <c r="G282" s="113">
        <f t="shared" si="51"/>
        <v>1</v>
      </c>
      <c r="H282" s="113" t="str">
        <f t="shared" si="52"/>
        <v>완료</v>
      </c>
      <c r="I282" s="117" t="s">
        <v>412</v>
      </c>
      <c r="J282" s="9" t="s">
        <v>198</v>
      </c>
      <c r="K282" s="10" t="s">
        <v>199</v>
      </c>
      <c r="L282" s="11" t="str">
        <f t="shared" si="48"/>
        <v>3T</v>
      </c>
      <c r="M282" s="18" t="s">
        <v>192</v>
      </c>
      <c r="N282" s="12" t="s">
        <v>506</v>
      </c>
      <c r="O282" s="18" t="s">
        <v>431</v>
      </c>
      <c r="P282" s="197" t="s">
        <v>334</v>
      </c>
      <c r="Q282" s="120" t="s">
        <v>1146</v>
      </c>
      <c r="R282" s="13" t="s">
        <v>506</v>
      </c>
      <c r="S282" s="7">
        <v>1</v>
      </c>
      <c r="T282" s="14">
        <v>500</v>
      </c>
      <c r="U282" s="15">
        <f t="shared" si="53"/>
        <v>250</v>
      </c>
      <c r="V282" s="14">
        <v>10</v>
      </c>
      <c r="W282" s="15">
        <f t="shared" si="54"/>
        <v>240</v>
      </c>
      <c r="X282" s="9" t="s">
        <v>495</v>
      </c>
      <c r="Y282" s="7" t="s">
        <v>506</v>
      </c>
      <c r="Z282" s="16">
        <v>3</v>
      </c>
      <c r="AA282" s="17">
        <f t="shared" si="55"/>
        <v>1</v>
      </c>
      <c r="AB282" s="9" t="s">
        <v>141</v>
      </c>
    </row>
    <row r="283" spans="2:28">
      <c r="B283" s="189">
        <f t="shared" si="49"/>
        <v>3</v>
      </c>
      <c r="C283" s="112" t="str">
        <f t="shared" si="50"/>
        <v>ATK</v>
      </c>
      <c r="D283" s="7" t="s">
        <v>341</v>
      </c>
      <c r="E283" s="8" t="s">
        <v>1142</v>
      </c>
      <c r="F283" s="8" t="s">
        <v>1108</v>
      </c>
      <c r="G283" s="113">
        <f t="shared" si="51"/>
        <v>1</v>
      </c>
      <c r="H283" s="113" t="str">
        <f t="shared" si="52"/>
        <v>완료</v>
      </c>
      <c r="I283" s="117" t="s">
        <v>412</v>
      </c>
      <c r="J283" s="9" t="s">
        <v>342</v>
      </c>
      <c r="K283" s="10" t="s">
        <v>342</v>
      </c>
      <c r="L283" s="11" t="str">
        <f t="shared" si="48"/>
        <v>QA</v>
      </c>
      <c r="M283" s="18" t="s">
        <v>340</v>
      </c>
      <c r="N283" s="12" t="s">
        <v>345</v>
      </c>
      <c r="O283" s="18" t="s">
        <v>343</v>
      </c>
      <c r="P283" s="197" t="s">
        <v>344</v>
      </c>
      <c r="Q283" s="120" t="s">
        <v>1147</v>
      </c>
      <c r="R283" s="13" t="s">
        <v>506</v>
      </c>
      <c r="S283" s="7">
        <v>1</v>
      </c>
      <c r="T283" s="14">
        <v>5000</v>
      </c>
      <c r="U283" s="15">
        <f t="shared" si="53"/>
        <v>2500</v>
      </c>
      <c r="V283" s="14">
        <v>5</v>
      </c>
      <c r="W283" s="15">
        <f t="shared" si="54"/>
        <v>2495</v>
      </c>
      <c r="X283" s="9" t="s">
        <v>495</v>
      </c>
      <c r="Y283" s="7" t="s">
        <v>506</v>
      </c>
      <c r="Z283" s="16">
        <v>8</v>
      </c>
      <c r="AA283" s="17">
        <f t="shared" si="55"/>
        <v>6</v>
      </c>
      <c r="AB283" s="9" t="s">
        <v>494</v>
      </c>
    </row>
    <row r="284" spans="2:28">
      <c r="B284" s="189">
        <f t="shared" si="49"/>
        <v>2</v>
      </c>
      <c r="C284" s="112" t="str">
        <f t="shared" si="50"/>
        <v>ATK</v>
      </c>
      <c r="D284" s="7" t="s">
        <v>219</v>
      </c>
      <c r="E284" s="8" t="s">
        <v>1142</v>
      </c>
      <c r="F284" s="8" t="s">
        <v>1130</v>
      </c>
      <c r="G284" s="113">
        <f t="shared" si="51"/>
        <v>1</v>
      </c>
      <c r="H284" s="113" t="str">
        <f t="shared" si="52"/>
        <v>완료</v>
      </c>
      <c r="I284" s="117" t="s">
        <v>412</v>
      </c>
      <c r="J284" s="9" t="s">
        <v>338</v>
      </c>
      <c r="K284" s="10" t="s">
        <v>206</v>
      </c>
      <c r="L284" s="11" t="str">
        <f t="shared" si="48"/>
        <v>1T</v>
      </c>
      <c r="M284" s="18" t="s">
        <v>358</v>
      </c>
      <c r="N284" s="12" t="s">
        <v>357</v>
      </c>
      <c r="O284" s="18" t="s">
        <v>359</v>
      </c>
      <c r="P284" s="197" t="s">
        <v>360</v>
      </c>
      <c r="Q284" s="120" t="s">
        <v>1148</v>
      </c>
      <c r="R284" s="13" t="s">
        <v>361</v>
      </c>
      <c r="S284" s="7">
        <v>1</v>
      </c>
      <c r="T284" s="14">
        <v>2500</v>
      </c>
      <c r="U284" s="15">
        <f t="shared" si="53"/>
        <v>1250</v>
      </c>
      <c r="V284" s="14">
        <v>0</v>
      </c>
      <c r="W284" s="15">
        <f t="shared" si="54"/>
        <v>1250</v>
      </c>
      <c r="X284" s="9" t="s">
        <v>495</v>
      </c>
      <c r="Y284" s="7" t="s">
        <v>506</v>
      </c>
      <c r="Z284" s="16">
        <v>1</v>
      </c>
      <c r="AA284" s="17">
        <f t="shared" si="55"/>
        <v>1</v>
      </c>
      <c r="AB284" s="9" t="s">
        <v>422</v>
      </c>
    </row>
    <row r="285" spans="2:28">
      <c r="B285" s="189">
        <f t="shared" si="49"/>
        <v>2</v>
      </c>
      <c r="C285" s="112" t="str">
        <f t="shared" si="50"/>
        <v>ATK</v>
      </c>
      <c r="D285" s="7" t="s">
        <v>324</v>
      </c>
      <c r="E285" s="8" t="s">
        <v>1142</v>
      </c>
      <c r="F285" s="8" t="s">
        <v>1130</v>
      </c>
      <c r="G285" s="113">
        <f t="shared" si="51"/>
        <v>1</v>
      </c>
      <c r="H285" s="113" t="str">
        <f t="shared" si="52"/>
        <v>완료</v>
      </c>
      <c r="I285" s="117" t="s">
        <v>412</v>
      </c>
      <c r="J285" s="9" t="s">
        <v>198</v>
      </c>
      <c r="K285" s="10" t="s">
        <v>199</v>
      </c>
      <c r="L285" s="11" t="str">
        <f t="shared" si="48"/>
        <v>3T</v>
      </c>
      <c r="M285" s="18" t="s">
        <v>173</v>
      </c>
      <c r="N285" s="12" t="s">
        <v>174</v>
      </c>
      <c r="O285" s="18" t="s">
        <v>157</v>
      </c>
      <c r="P285" s="197" t="s">
        <v>362</v>
      </c>
      <c r="Q285" s="120" t="s">
        <v>1149</v>
      </c>
      <c r="R285" s="13" t="s">
        <v>363</v>
      </c>
      <c r="S285" s="7">
        <v>1</v>
      </c>
      <c r="T285" s="14">
        <v>700</v>
      </c>
      <c r="U285" s="15">
        <f t="shared" si="53"/>
        <v>350</v>
      </c>
      <c r="V285" s="14">
        <v>2</v>
      </c>
      <c r="W285" s="15">
        <f t="shared" si="54"/>
        <v>348</v>
      </c>
      <c r="X285" s="9" t="s">
        <v>495</v>
      </c>
      <c r="Y285" s="7" t="s">
        <v>506</v>
      </c>
      <c r="Z285" s="16">
        <v>4</v>
      </c>
      <c r="AA285" s="17">
        <f t="shared" si="55"/>
        <v>1</v>
      </c>
      <c r="AB285" s="9" t="s">
        <v>422</v>
      </c>
    </row>
    <row r="286" spans="2:28">
      <c r="B286" s="189">
        <f t="shared" si="49"/>
        <v>2</v>
      </c>
      <c r="C286" s="112" t="str">
        <f t="shared" si="50"/>
        <v>ATK</v>
      </c>
      <c r="D286" s="7" t="s">
        <v>496</v>
      </c>
      <c r="E286" s="8" t="s">
        <v>1142</v>
      </c>
      <c r="F286" s="8" t="s">
        <v>1121</v>
      </c>
      <c r="G286" s="113">
        <f t="shared" si="51"/>
        <v>1</v>
      </c>
      <c r="H286" s="113" t="str">
        <f t="shared" si="52"/>
        <v>완료</v>
      </c>
      <c r="I286" s="117" t="s">
        <v>412</v>
      </c>
      <c r="J286" s="9" t="s">
        <v>491</v>
      </c>
      <c r="K286" s="10" t="s">
        <v>492</v>
      </c>
      <c r="L286" s="11" t="str">
        <f t="shared" si="48"/>
        <v>5T</v>
      </c>
      <c r="M286" s="18" t="s">
        <v>371</v>
      </c>
      <c r="N286" s="12" t="s">
        <v>357</v>
      </c>
      <c r="O286" s="18" t="s">
        <v>359</v>
      </c>
      <c r="P286" s="197" t="s">
        <v>372</v>
      </c>
      <c r="Q286" s="120" t="s">
        <v>1150</v>
      </c>
      <c r="R286" s="13" t="s">
        <v>373</v>
      </c>
      <c r="S286" s="7">
        <v>1</v>
      </c>
      <c r="T286" s="14">
        <v>1500</v>
      </c>
      <c r="U286" s="15">
        <f t="shared" si="53"/>
        <v>750</v>
      </c>
      <c r="V286" s="14">
        <v>2</v>
      </c>
      <c r="W286" s="15">
        <f t="shared" si="54"/>
        <v>748</v>
      </c>
      <c r="X286" s="9" t="s">
        <v>495</v>
      </c>
      <c r="Y286" s="7" t="s">
        <v>506</v>
      </c>
      <c r="Z286" s="16">
        <v>4</v>
      </c>
      <c r="AA286" s="17">
        <f t="shared" si="55"/>
        <v>2</v>
      </c>
      <c r="AB286" s="9" t="s">
        <v>422</v>
      </c>
    </row>
    <row r="287" spans="2:28">
      <c r="B287" s="189">
        <f t="shared" si="49"/>
        <v>2</v>
      </c>
      <c r="C287" s="112" t="str">
        <f t="shared" si="50"/>
        <v>ATK</v>
      </c>
      <c r="D287" s="7" t="s">
        <v>307</v>
      </c>
      <c r="E287" s="8" t="s">
        <v>1151</v>
      </c>
      <c r="F287" s="8" t="s">
        <v>1151</v>
      </c>
      <c r="G287" s="113">
        <f t="shared" si="51"/>
        <v>1</v>
      </c>
      <c r="H287" s="113" t="str">
        <f t="shared" si="52"/>
        <v>완료</v>
      </c>
      <c r="I287" s="117" t="s">
        <v>412</v>
      </c>
      <c r="J287" s="9" t="s">
        <v>198</v>
      </c>
      <c r="K287" s="10" t="s">
        <v>186</v>
      </c>
      <c r="L287" s="11" t="str">
        <f t="shared" si="48"/>
        <v>3T</v>
      </c>
      <c r="M287" s="18" t="s">
        <v>308</v>
      </c>
      <c r="N287" s="12" t="s">
        <v>309</v>
      </c>
      <c r="O287" s="18" t="s">
        <v>310</v>
      </c>
      <c r="P287" s="197" t="s">
        <v>311</v>
      </c>
      <c r="Q287" s="120" t="s">
        <v>1152</v>
      </c>
      <c r="R287" s="13" t="s">
        <v>506</v>
      </c>
      <c r="S287" s="7">
        <v>1</v>
      </c>
      <c r="T287" s="14">
        <v>12000</v>
      </c>
      <c r="U287" s="15">
        <f t="shared" si="53"/>
        <v>6000</v>
      </c>
      <c r="V287" s="14">
        <v>60</v>
      </c>
      <c r="W287" s="15">
        <f t="shared" si="54"/>
        <v>5940</v>
      </c>
      <c r="X287" s="9" t="s">
        <v>495</v>
      </c>
      <c r="Y287" s="7" t="s">
        <v>506</v>
      </c>
      <c r="Z287" s="16">
        <v>1</v>
      </c>
      <c r="AA287" s="17">
        <f t="shared" si="55"/>
        <v>0</v>
      </c>
      <c r="AB287" s="9" t="s">
        <v>213</v>
      </c>
    </row>
    <row r="288" spans="2:28" ht="24">
      <c r="B288" s="189">
        <f t="shared" si="49"/>
        <v>2</v>
      </c>
      <c r="C288" s="112" t="str">
        <f t="shared" si="50"/>
        <v>ATK</v>
      </c>
      <c r="D288" s="7" t="s">
        <v>374</v>
      </c>
      <c r="E288" s="8" t="s">
        <v>1151</v>
      </c>
      <c r="F288" s="8" t="s">
        <v>1151</v>
      </c>
      <c r="G288" s="113">
        <f t="shared" si="51"/>
        <v>1</v>
      </c>
      <c r="H288" s="113" t="str">
        <f t="shared" si="52"/>
        <v>완료</v>
      </c>
      <c r="I288" s="117" t="s">
        <v>412</v>
      </c>
      <c r="J288" s="9" t="s">
        <v>381</v>
      </c>
      <c r="K288" s="10" t="s">
        <v>170</v>
      </c>
      <c r="L288" s="11" t="str">
        <f t="shared" si="48"/>
        <v>2T</v>
      </c>
      <c r="M288" s="18" t="s">
        <v>157</v>
      </c>
      <c r="N288" s="12" t="s">
        <v>506</v>
      </c>
      <c r="O288" s="18" t="s">
        <v>313</v>
      </c>
      <c r="P288" s="197" t="s">
        <v>312</v>
      </c>
      <c r="Q288" s="120" t="s">
        <v>1153</v>
      </c>
      <c r="R288" s="13" t="s">
        <v>314</v>
      </c>
      <c r="S288" s="7">
        <v>1</v>
      </c>
      <c r="T288" s="14">
        <v>550</v>
      </c>
      <c r="U288" s="15">
        <f t="shared" si="53"/>
        <v>275</v>
      </c>
      <c r="V288" s="14">
        <v>3</v>
      </c>
      <c r="W288" s="15">
        <f t="shared" si="54"/>
        <v>272</v>
      </c>
      <c r="X288" s="9" t="s">
        <v>495</v>
      </c>
      <c r="Y288" s="7" t="s">
        <v>506</v>
      </c>
      <c r="Z288" s="16">
        <v>4</v>
      </c>
      <c r="AA288" s="17">
        <f t="shared" si="55"/>
        <v>0</v>
      </c>
      <c r="AB288" s="9" t="s">
        <v>422</v>
      </c>
    </row>
    <row r="289" spans="2:28" ht="24">
      <c r="B289" s="189">
        <f t="shared" si="49"/>
        <v>2</v>
      </c>
      <c r="C289" s="112" t="str">
        <f t="shared" si="50"/>
        <v>ATK</v>
      </c>
      <c r="D289" s="7" t="s">
        <v>307</v>
      </c>
      <c r="E289" s="8" t="s">
        <v>1151</v>
      </c>
      <c r="F289" s="8" t="s">
        <v>1142</v>
      </c>
      <c r="G289" s="113">
        <f t="shared" si="51"/>
        <v>1</v>
      </c>
      <c r="H289" s="113" t="str">
        <f t="shared" si="52"/>
        <v>완료</v>
      </c>
      <c r="I289" s="117" t="s">
        <v>412</v>
      </c>
      <c r="J289" s="9" t="s">
        <v>198</v>
      </c>
      <c r="K289" s="10" t="s">
        <v>186</v>
      </c>
      <c r="L289" s="11" t="str">
        <f t="shared" si="48"/>
        <v>3T</v>
      </c>
      <c r="M289" s="18" t="s">
        <v>315</v>
      </c>
      <c r="N289" s="12" t="s">
        <v>316</v>
      </c>
      <c r="O289" s="18" t="s">
        <v>317</v>
      </c>
      <c r="P289" s="197" t="s">
        <v>318</v>
      </c>
      <c r="Q289" s="120" t="s">
        <v>1154</v>
      </c>
      <c r="R289" s="13" t="s">
        <v>319</v>
      </c>
      <c r="S289" s="7">
        <v>1</v>
      </c>
      <c r="T289" s="14">
        <v>250</v>
      </c>
      <c r="U289" s="15">
        <f t="shared" si="53"/>
        <v>125</v>
      </c>
      <c r="V289" s="14">
        <v>0</v>
      </c>
      <c r="W289" s="15">
        <f t="shared" si="54"/>
        <v>125</v>
      </c>
      <c r="X289" s="9" t="s">
        <v>495</v>
      </c>
      <c r="Y289" s="7" t="s">
        <v>506</v>
      </c>
      <c r="Z289" s="16">
        <v>2</v>
      </c>
      <c r="AA289" s="17">
        <f t="shared" si="55"/>
        <v>1</v>
      </c>
      <c r="AB289" s="9" t="s">
        <v>422</v>
      </c>
    </row>
    <row r="290" spans="2:28" ht="24">
      <c r="B290" s="189">
        <f t="shared" si="49"/>
        <v>2</v>
      </c>
      <c r="C290" s="112" t="str">
        <f t="shared" si="50"/>
        <v>ATK</v>
      </c>
      <c r="D290" s="7" t="s">
        <v>307</v>
      </c>
      <c r="E290" s="8" t="s">
        <v>1151</v>
      </c>
      <c r="F290" s="8" t="s">
        <v>1142</v>
      </c>
      <c r="G290" s="113">
        <f t="shared" si="51"/>
        <v>1</v>
      </c>
      <c r="H290" s="113" t="str">
        <f t="shared" si="52"/>
        <v>완료</v>
      </c>
      <c r="I290" s="117" t="s">
        <v>412</v>
      </c>
      <c r="J290" s="9" t="s">
        <v>198</v>
      </c>
      <c r="K290" s="10" t="s">
        <v>186</v>
      </c>
      <c r="L290" s="11" t="str">
        <f t="shared" si="48"/>
        <v>3T</v>
      </c>
      <c r="M290" s="18" t="s">
        <v>320</v>
      </c>
      <c r="N290" s="12" t="s">
        <v>321</v>
      </c>
      <c r="O290" s="18" t="s">
        <v>322</v>
      </c>
      <c r="P290" s="197" t="s">
        <v>506</v>
      </c>
      <c r="Q290" s="120" t="s">
        <v>1154</v>
      </c>
      <c r="R290" s="13" t="s">
        <v>506</v>
      </c>
      <c r="S290" s="7">
        <v>1</v>
      </c>
      <c r="T290" s="14">
        <v>5000</v>
      </c>
      <c r="U290" s="15">
        <f t="shared" si="53"/>
        <v>2500</v>
      </c>
      <c r="V290" s="14">
        <v>0</v>
      </c>
      <c r="W290" s="15">
        <f t="shared" si="54"/>
        <v>2500</v>
      </c>
      <c r="X290" s="9" t="s">
        <v>495</v>
      </c>
      <c r="Y290" s="7" t="s">
        <v>506</v>
      </c>
      <c r="Z290" s="16">
        <v>3</v>
      </c>
      <c r="AA290" s="17">
        <f t="shared" si="55"/>
        <v>1</v>
      </c>
      <c r="AB290" s="9" t="s">
        <v>213</v>
      </c>
    </row>
    <row r="291" spans="2:28">
      <c r="B291" s="189">
        <f t="shared" si="49"/>
        <v>2</v>
      </c>
      <c r="C291" s="112" t="str">
        <f t="shared" si="50"/>
        <v>ATK</v>
      </c>
      <c r="D291" s="7" t="s">
        <v>325</v>
      </c>
      <c r="E291" s="8" t="s">
        <v>1151</v>
      </c>
      <c r="F291" s="8" t="s">
        <v>1151</v>
      </c>
      <c r="G291" s="113">
        <f t="shared" si="51"/>
        <v>1</v>
      </c>
      <c r="H291" s="113" t="str">
        <f t="shared" si="52"/>
        <v>완료</v>
      </c>
      <c r="I291" s="117" t="s">
        <v>412</v>
      </c>
      <c r="J291" s="9" t="s">
        <v>454</v>
      </c>
      <c r="K291" s="10" t="s">
        <v>454</v>
      </c>
      <c r="L291" s="11" t="str">
        <f t="shared" si="48"/>
        <v>인사</v>
      </c>
      <c r="M291" s="18" t="s">
        <v>329</v>
      </c>
      <c r="N291" s="12" t="s">
        <v>330</v>
      </c>
      <c r="O291" s="18" t="s">
        <v>331</v>
      </c>
      <c r="P291" s="197" t="s">
        <v>506</v>
      </c>
      <c r="Q291" s="120" t="s">
        <v>1155</v>
      </c>
      <c r="R291" s="13" t="s">
        <v>506</v>
      </c>
      <c r="S291" s="7">
        <v>1</v>
      </c>
      <c r="T291" s="14">
        <v>20000</v>
      </c>
      <c r="U291" s="15">
        <f t="shared" si="53"/>
        <v>10000</v>
      </c>
      <c r="V291" s="14">
        <v>250</v>
      </c>
      <c r="W291" s="15">
        <f t="shared" si="54"/>
        <v>9750</v>
      </c>
      <c r="X291" s="9" t="s">
        <v>495</v>
      </c>
      <c r="Y291" s="7" t="s">
        <v>506</v>
      </c>
      <c r="Z291" s="16">
        <v>2</v>
      </c>
      <c r="AA291" s="17">
        <f t="shared" si="55"/>
        <v>0</v>
      </c>
      <c r="AB291" s="9" t="s">
        <v>494</v>
      </c>
    </row>
    <row r="292" spans="2:28">
      <c r="B292" s="189">
        <f t="shared" si="49"/>
        <v>2</v>
      </c>
      <c r="C292" s="112" t="str">
        <f t="shared" si="50"/>
        <v>ATK</v>
      </c>
      <c r="D292" s="7" t="s">
        <v>325</v>
      </c>
      <c r="E292" s="8" t="s">
        <v>1151</v>
      </c>
      <c r="F292" s="8" t="s">
        <v>1151</v>
      </c>
      <c r="G292" s="113">
        <f t="shared" si="51"/>
        <v>1</v>
      </c>
      <c r="H292" s="113" t="str">
        <f t="shared" si="52"/>
        <v>Other</v>
      </c>
      <c r="I292" s="117" t="s">
        <v>419</v>
      </c>
      <c r="J292" s="9" t="s">
        <v>454</v>
      </c>
      <c r="K292" s="10" t="s">
        <v>454</v>
      </c>
      <c r="L292" s="11" t="str">
        <f t="shared" si="48"/>
        <v>인사</v>
      </c>
      <c r="M292" s="18" t="s">
        <v>329</v>
      </c>
      <c r="N292" s="12" t="s">
        <v>330</v>
      </c>
      <c r="O292" s="18" t="s">
        <v>331</v>
      </c>
      <c r="P292" s="197" t="s">
        <v>506</v>
      </c>
      <c r="Q292" s="120" t="s">
        <v>1155</v>
      </c>
      <c r="R292" s="13" t="s">
        <v>506</v>
      </c>
      <c r="S292" s="7">
        <v>1</v>
      </c>
      <c r="T292" s="14">
        <v>0</v>
      </c>
      <c r="U292" s="15">
        <f t="shared" si="53"/>
        <v>0</v>
      </c>
      <c r="V292" s="14">
        <v>0</v>
      </c>
      <c r="W292" s="15">
        <f t="shared" si="54"/>
        <v>0</v>
      </c>
      <c r="X292" s="9" t="s">
        <v>495</v>
      </c>
      <c r="Y292" s="7" t="s">
        <v>506</v>
      </c>
      <c r="Z292" s="16">
        <v>2</v>
      </c>
      <c r="AA292" s="17">
        <f t="shared" si="55"/>
        <v>0</v>
      </c>
      <c r="AB292" s="9" t="s">
        <v>376</v>
      </c>
    </row>
    <row r="293" spans="2:28">
      <c r="B293" s="189">
        <f t="shared" si="49"/>
        <v>2</v>
      </c>
      <c r="C293" s="112" t="str">
        <f t="shared" si="50"/>
        <v>ATK</v>
      </c>
      <c r="D293" s="7" t="s">
        <v>287</v>
      </c>
      <c r="E293" s="8" t="s">
        <v>1151</v>
      </c>
      <c r="F293" s="8" t="s">
        <v>1142</v>
      </c>
      <c r="G293" s="113">
        <f t="shared" si="51"/>
        <v>1</v>
      </c>
      <c r="H293" s="113" t="str">
        <f t="shared" si="52"/>
        <v>완료</v>
      </c>
      <c r="I293" s="117" t="s">
        <v>412</v>
      </c>
      <c r="J293" s="9" t="s">
        <v>198</v>
      </c>
      <c r="K293" s="10" t="s">
        <v>199</v>
      </c>
      <c r="L293" s="11" t="str">
        <f t="shared" si="48"/>
        <v>3T</v>
      </c>
      <c r="M293" s="18" t="s">
        <v>335</v>
      </c>
      <c r="N293" s="12" t="s">
        <v>336</v>
      </c>
      <c r="O293" s="18" t="s">
        <v>144</v>
      </c>
      <c r="P293" s="197" t="s">
        <v>506</v>
      </c>
      <c r="Q293" s="120" t="s">
        <v>532</v>
      </c>
      <c r="R293" s="13" t="s">
        <v>506</v>
      </c>
      <c r="S293" s="7">
        <v>1</v>
      </c>
      <c r="T293" s="14">
        <v>5000</v>
      </c>
      <c r="U293" s="15">
        <f t="shared" si="53"/>
        <v>2500</v>
      </c>
      <c r="V293" s="14">
        <v>30</v>
      </c>
      <c r="W293" s="15">
        <f t="shared" si="54"/>
        <v>2470</v>
      </c>
      <c r="X293" s="9" t="s">
        <v>495</v>
      </c>
      <c r="Y293" s="7" t="s">
        <v>506</v>
      </c>
      <c r="Z293" s="16">
        <v>4</v>
      </c>
      <c r="AA293" s="17">
        <f t="shared" si="55"/>
        <v>1</v>
      </c>
      <c r="AB293" s="9" t="s">
        <v>376</v>
      </c>
    </row>
    <row r="294" spans="2:28">
      <c r="B294" s="189">
        <f t="shared" si="49"/>
        <v>2</v>
      </c>
      <c r="C294" s="112" t="str">
        <f t="shared" si="50"/>
        <v>ATK</v>
      </c>
      <c r="D294" s="7" t="s">
        <v>215</v>
      </c>
      <c r="E294" s="8" t="s">
        <v>1151</v>
      </c>
      <c r="F294" s="8" t="s">
        <v>1142</v>
      </c>
      <c r="G294" s="113">
        <f t="shared" si="51"/>
        <v>1</v>
      </c>
      <c r="H294" s="113" t="str">
        <f t="shared" si="52"/>
        <v>완료</v>
      </c>
      <c r="I294" s="117" t="s">
        <v>412</v>
      </c>
      <c r="J294" s="9" t="s">
        <v>381</v>
      </c>
      <c r="K294" s="10" t="s">
        <v>435</v>
      </c>
      <c r="L294" s="11" t="str">
        <f t="shared" si="48"/>
        <v>2T</v>
      </c>
      <c r="M294" s="18" t="s">
        <v>339</v>
      </c>
      <c r="N294" s="12" t="s">
        <v>216</v>
      </c>
      <c r="O294" s="18" t="s">
        <v>217</v>
      </c>
      <c r="P294" s="197" t="s">
        <v>218</v>
      </c>
      <c r="Q294" s="120" t="s">
        <v>1111</v>
      </c>
      <c r="R294" s="13" t="s">
        <v>506</v>
      </c>
      <c r="S294" s="7">
        <v>1</v>
      </c>
      <c r="T294" s="14">
        <v>1600</v>
      </c>
      <c r="U294" s="15">
        <f t="shared" si="53"/>
        <v>800</v>
      </c>
      <c r="V294" s="14">
        <v>10</v>
      </c>
      <c r="W294" s="15">
        <f t="shared" si="54"/>
        <v>790</v>
      </c>
      <c r="X294" s="9" t="s">
        <v>495</v>
      </c>
      <c r="Y294" s="7" t="s">
        <v>506</v>
      </c>
      <c r="Z294" s="16">
        <v>2</v>
      </c>
      <c r="AA294" s="17">
        <f t="shared" si="55"/>
        <v>1</v>
      </c>
      <c r="AB294" s="9" t="s">
        <v>376</v>
      </c>
    </row>
    <row r="295" spans="2:28">
      <c r="B295" s="189">
        <f t="shared" si="49"/>
        <v>2</v>
      </c>
      <c r="C295" s="112" t="str">
        <f t="shared" si="50"/>
        <v>ATK</v>
      </c>
      <c r="D295" s="7" t="s">
        <v>380</v>
      </c>
      <c r="E295" s="8" t="s">
        <v>1156</v>
      </c>
      <c r="F295" s="8" t="s">
        <v>1156</v>
      </c>
      <c r="G295" s="113">
        <f t="shared" si="51"/>
        <v>1</v>
      </c>
      <c r="H295" s="113" t="str">
        <f t="shared" si="52"/>
        <v>완료</v>
      </c>
      <c r="I295" s="117" t="s">
        <v>412</v>
      </c>
      <c r="J295" s="9" t="s">
        <v>381</v>
      </c>
      <c r="K295" s="10" t="s">
        <v>382</v>
      </c>
      <c r="L295" s="11" t="str">
        <f t="shared" si="48"/>
        <v>2T</v>
      </c>
      <c r="M295" s="18" t="s">
        <v>302</v>
      </c>
      <c r="N295" s="12" t="s">
        <v>300</v>
      </c>
      <c r="O295" s="18" t="s">
        <v>301</v>
      </c>
      <c r="P295" s="197" t="s">
        <v>506</v>
      </c>
      <c r="Q295" s="120" t="s">
        <v>1157</v>
      </c>
      <c r="R295" s="13" t="s">
        <v>506</v>
      </c>
      <c r="S295" s="7">
        <v>1</v>
      </c>
      <c r="T295" s="14">
        <v>10000</v>
      </c>
      <c r="U295" s="15">
        <f t="shared" si="53"/>
        <v>5000</v>
      </c>
      <c r="V295" s="14">
        <v>1</v>
      </c>
      <c r="W295" s="15">
        <f t="shared" si="54"/>
        <v>4999</v>
      </c>
      <c r="X295" s="9" t="s">
        <v>495</v>
      </c>
      <c r="Y295" s="7" t="s">
        <v>506</v>
      </c>
      <c r="Z295" s="16">
        <v>4</v>
      </c>
      <c r="AA295" s="17">
        <f t="shared" si="55"/>
        <v>0</v>
      </c>
      <c r="AB295" s="9" t="s">
        <v>376</v>
      </c>
    </row>
    <row r="296" spans="2:28">
      <c r="B296" s="189">
        <f t="shared" si="49"/>
        <v>2</v>
      </c>
      <c r="C296" s="112" t="str">
        <f t="shared" si="50"/>
        <v>ATK</v>
      </c>
      <c r="D296" s="7" t="s">
        <v>303</v>
      </c>
      <c r="E296" s="8" t="s">
        <v>1156</v>
      </c>
      <c r="F296" s="8" t="s">
        <v>1156</v>
      </c>
      <c r="G296" s="113">
        <f t="shared" si="51"/>
        <v>1</v>
      </c>
      <c r="H296" s="113" t="str">
        <f t="shared" si="52"/>
        <v>완료</v>
      </c>
      <c r="I296" s="117" t="s">
        <v>412</v>
      </c>
      <c r="J296" s="9" t="s">
        <v>392</v>
      </c>
      <c r="K296" s="10" t="s">
        <v>393</v>
      </c>
      <c r="L296" s="11" t="str">
        <f t="shared" si="48"/>
        <v>EE</v>
      </c>
      <c r="M296" s="18" t="s">
        <v>304</v>
      </c>
      <c r="N296" s="12" t="s">
        <v>140</v>
      </c>
      <c r="O296" s="18" t="s">
        <v>305</v>
      </c>
      <c r="P296" s="197" t="s">
        <v>306</v>
      </c>
      <c r="Q296" s="120" t="s">
        <v>1158</v>
      </c>
      <c r="R296" s="13" t="s">
        <v>506</v>
      </c>
      <c r="S296" s="7">
        <v>1</v>
      </c>
      <c r="T296" s="14">
        <v>7000</v>
      </c>
      <c r="U296" s="15">
        <f t="shared" si="53"/>
        <v>3500</v>
      </c>
      <c r="V296" s="14">
        <v>30</v>
      </c>
      <c r="W296" s="15">
        <f t="shared" si="54"/>
        <v>3470</v>
      </c>
      <c r="X296" s="9" t="s">
        <v>495</v>
      </c>
      <c r="Y296" s="7" t="s">
        <v>506</v>
      </c>
      <c r="Z296" s="16">
        <v>5</v>
      </c>
      <c r="AA296" s="17">
        <f t="shared" si="55"/>
        <v>0</v>
      </c>
      <c r="AB296" s="9" t="s">
        <v>213</v>
      </c>
    </row>
    <row r="297" spans="2:28" ht="24">
      <c r="B297" s="189">
        <f t="shared" si="49"/>
        <v>2</v>
      </c>
      <c r="C297" s="112" t="str">
        <f t="shared" si="50"/>
        <v>ATK</v>
      </c>
      <c r="D297" s="7" t="s">
        <v>210</v>
      </c>
      <c r="E297" s="8" t="s">
        <v>1156</v>
      </c>
      <c r="F297" s="8" t="s">
        <v>1130</v>
      </c>
      <c r="G297" s="113">
        <f t="shared" si="51"/>
        <v>1</v>
      </c>
      <c r="H297" s="113" t="str">
        <f t="shared" si="52"/>
        <v>완료</v>
      </c>
      <c r="I297" s="117" t="s">
        <v>412</v>
      </c>
      <c r="J297" s="9" t="s">
        <v>198</v>
      </c>
      <c r="K297" s="10" t="s">
        <v>199</v>
      </c>
      <c r="L297" s="11" t="str">
        <f t="shared" si="48"/>
        <v>3T</v>
      </c>
      <c r="M297" s="18" t="s">
        <v>192</v>
      </c>
      <c r="N297" s="12" t="s">
        <v>193</v>
      </c>
      <c r="O297" s="18" t="s">
        <v>355</v>
      </c>
      <c r="P297" s="197" t="s">
        <v>356</v>
      </c>
      <c r="Q297" s="120" t="s">
        <v>1159</v>
      </c>
      <c r="R297" s="13" t="s">
        <v>506</v>
      </c>
      <c r="S297" s="7">
        <v>1</v>
      </c>
      <c r="T297" s="14">
        <v>200</v>
      </c>
      <c r="U297" s="15">
        <f t="shared" si="53"/>
        <v>100</v>
      </c>
      <c r="V297" s="14">
        <v>5</v>
      </c>
      <c r="W297" s="15">
        <f t="shared" si="54"/>
        <v>95</v>
      </c>
      <c r="X297" s="9" t="s">
        <v>495</v>
      </c>
      <c r="Y297" s="7" t="s">
        <v>506</v>
      </c>
      <c r="Z297" s="16">
        <v>16</v>
      </c>
      <c r="AA297" s="17">
        <f t="shared" si="55"/>
        <v>3</v>
      </c>
      <c r="AB297" s="9" t="s">
        <v>422</v>
      </c>
    </row>
    <row r="298" spans="2:28">
      <c r="B298" s="189">
        <f t="shared" si="49"/>
        <v>1</v>
      </c>
      <c r="C298" s="112" t="str">
        <f t="shared" si="50"/>
        <v>ATK</v>
      </c>
      <c r="D298" s="7" t="s">
        <v>167</v>
      </c>
      <c r="E298" s="8" t="s">
        <v>1160</v>
      </c>
      <c r="F298" s="8" t="s">
        <v>1160</v>
      </c>
      <c r="G298" s="113">
        <f t="shared" si="51"/>
        <v>1</v>
      </c>
      <c r="H298" s="113" t="str">
        <f t="shared" si="52"/>
        <v>완료</v>
      </c>
      <c r="I298" s="117" t="s">
        <v>412</v>
      </c>
      <c r="J298" s="9" t="s">
        <v>491</v>
      </c>
      <c r="K298" s="10" t="s">
        <v>279</v>
      </c>
      <c r="L298" s="11" t="str">
        <f t="shared" si="48"/>
        <v>5T</v>
      </c>
      <c r="M298" s="18" t="s">
        <v>296</v>
      </c>
      <c r="N298" s="12" t="s">
        <v>295</v>
      </c>
      <c r="O298" s="18" t="s">
        <v>293</v>
      </c>
      <c r="P298" s="197" t="s">
        <v>294</v>
      </c>
      <c r="Q298" s="120" t="s">
        <v>1161</v>
      </c>
      <c r="R298" s="13" t="s">
        <v>506</v>
      </c>
      <c r="S298" s="7">
        <v>1</v>
      </c>
      <c r="T298" s="14">
        <v>700</v>
      </c>
      <c r="U298" s="15">
        <f t="shared" si="53"/>
        <v>350</v>
      </c>
      <c r="V298" s="14">
        <v>2</v>
      </c>
      <c r="W298" s="15">
        <f t="shared" si="54"/>
        <v>348</v>
      </c>
      <c r="X298" s="9" t="s">
        <v>495</v>
      </c>
      <c r="Y298" s="7" t="s">
        <v>506</v>
      </c>
      <c r="Z298" s="16">
        <v>3</v>
      </c>
      <c r="AA298" s="17">
        <f t="shared" si="55"/>
        <v>0</v>
      </c>
      <c r="AB298" s="9" t="s">
        <v>422</v>
      </c>
    </row>
    <row r="299" spans="2:28">
      <c r="B299" s="189">
        <f t="shared" si="49"/>
        <v>8</v>
      </c>
      <c r="C299" s="112" t="str">
        <f t="shared" si="50"/>
        <v>ATK</v>
      </c>
      <c r="D299" s="7" t="s">
        <v>238</v>
      </c>
      <c r="E299" s="8" t="s">
        <v>1160</v>
      </c>
      <c r="F299" s="8" t="s">
        <v>599</v>
      </c>
      <c r="G299" s="113">
        <f t="shared" si="51"/>
        <v>2</v>
      </c>
      <c r="H299" s="113" t="str">
        <f t="shared" si="52"/>
        <v>완료</v>
      </c>
      <c r="I299" s="117" t="s">
        <v>412</v>
      </c>
      <c r="J299" s="9" t="s">
        <v>392</v>
      </c>
      <c r="K299" s="10" t="s">
        <v>485</v>
      </c>
      <c r="L299" s="11" t="str">
        <f t="shared" si="48"/>
        <v>EE</v>
      </c>
      <c r="M299" s="18" t="s">
        <v>192</v>
      </c>
      <c r="N299" s="12" t="s">
        <v>423</v>
      </c>
      <c r="O299" s="18" t="s">
        <v>1162</v>
      </c>
      <c r="P299" s="197" t="s">
        <v>1163</v>
      </c>
      <c r="Q299" s="120" t="s">
        <v>1164</v>
      </c>
      <c r="R299" s="13" t="s">
        <v>506</v>
      </c>
      <c r="S299" s="7">
        <v>1</v>
      </c>
      <c r="T299" s="14">
        <v>600</v>
      </c>
      <c r="U299" s="15">
        <f t="shared" si="53"/>
        <v>300</v>
      </c>
      <c r="V299" s="14">
        <v>5</v>
      </c>
      <c r="W299" s="15">
        <f t="shared" si="54"/>
        <v>295</v>
      </c>
      <c r="X299" s="9" t="s">
        <v>495</v>
      </c>
      <c r="Y299" s="7" t="s">
        <v>506</v>
      </c>
      <c r="Z299" s="16">
        <v>4</v>
      </c>
      <c r="AA299" s="17">
        <f t="shared" si="55"/>
        <v>47</v>
      </c>
      <c r="AB299" s="9" t="s">
        <v>376</v>
      </c>
    </row>
    <row r="300" spans="2:28">
      <c r="B300" s="189">
        <f t="shared" si="49"/>
        <v>1</v>
      </c>
      <c r="C300" s="112" t="str">
        <f t="shared" si="50"/>
        <v>ATK</v>
      </c>
      <c r="D300" s="7" t="s">
        <v>380</v>
      </c>
      <c r="E300" s="8" t="s">
        <v>1165</v>
      </c>
      <c r="F300" s="8" t="s">
        <v>1165</v>
      </c>
      <c r="G300" s="113">
        <f t="shared" si="51"/>
        <v>1</v>
      </c>
      <c r="H300" s="113" t="str">
        <f t="shared" si="52"/>
        <v>완료</v>
      </c>
      <c r="I300" s="117" t="s">
        <v>412</v>
      </c>
      <c r="J300" s="9" t="s">
        <v>381</v>
      </c>
      <c r="K300" s="10" t="s">
        <v>382</v>
      </c>
      <c r="L300" s="11" t="str">
        <f t="shared" si="48"/>
        <v>2T</v>
      </c>
      <c r="M300" s="18" t="s">
        <v>506</v>
      </c>
      <c r="N300" s="12" t="s">
        <v>262</v>
      </c>
      <c r="O300" s="18" t="s">
        <v>263</v>
      </c>
      <c r="P300" s="197" t="s">
        <v>264</v>
      </c>
      <c r="Q300" s="120" t="s">
        <v>532</v>
      </c>
      <c r="R300" s="13" t="s">
        <v>506</v>
      </c>
      <c r="S300" s="7">
        <v>1</v>
      </c>
      <c r="T300" s="14">
        <v>400</v>
      </c>
      <c r="U300" s="15">
        <f t="shared" si="53"/>
        <v>200</v>
      </c>
      <c r="V300" s="14">
        <v>1</v>
      </c>
      <c r="W300" s="15">
        <f t="shared" si="54"/>
        <v>199</v>
      </c>
      <c r="X300" s="9" t="s">
        <v>495</v>
      </c>
      <c r="Y300" s="7" t="s">
        <v>506</v>
      </c>
      <c r="Z300" s="16">
        <v>1</v>
      </c>
      <c r="AA300" s="17">
        <f t="shared" si="55"/>
        <v>0</v>
      </c>
      <c r="AB300" s="9" t="s">
        <v>213</v>
      </c>
    </row>
    <row r="301" spans="2:28">
      <c r="B301" s="189">
        <f t="shared" si="49"/>
        <v>1</v>
      </c>
      <c r="C301" s="112" t="str">
        <f t="shared" si="50"/>
        <v>ATK</v>
      </c>
      <c r="D301" s="7" t="s">
        <v>265</v>
      </c>
      <c r="E301" s="8" t="s">
        <v>1165</v>
      </c>
      <c r="F301" s="8" t="s">
        <v>1165</v>
      </c>
      <c r="G301" s="113">
        <f t="shared" si="51"/>
        <v>1</v>
      </c>
      <c r="H301" s="113" t="str">
        <f t="shared" si="52"/>
        <v>완료</v>
      </c>
      <c r="I301" s="117" t="s">
        <v>412</v>
      </c>
      <c r="J301" s="9" t="s">
        <v>162</v>
      </c>
      <c r="K301" s="10" t="s">
        <v>143</v>
      </c>
      <c r="L301" s="11" t="str">
        <f t="shared" si="48"/>
        <v>1T</v>
      </c>
      <c r="M301" s="18" t="s">
        <v>190</v>
      </c>
      <c r="N301" s="12" t="s">
        <v>266</v>
      </c>
      <c r="O301" s="18" t="s">
        <v>471</v>
      </c>
      <c r="P301" s="197" t="s">
        <v>267</v>
      </c>
      <c r="Q301" s="120" t="s">
        <v>1166</v>
      </c>
      <c r="R301" s="13" t="s">
        <v>506</v>
      </c>
      <c r="S301" s="7">
        <v>2</v>
      </c>
      <c r="T301" s="14">
        <v>1000</v>
      </c>
      <c r="U301" s="15">
        <f t="shared" si="53"/>
        <v>1000</v>
      </c>
      <c r="V301" s="14">
        <v>10</v>
      </c>
      <c r="W301" s="15">
        <f t="shared" si="54"/>
        <v>990</v>
      </c>
      <c r="X301" s="9" t="s">
        <v>495</v>
      </c>
      <c r="Y301" s="7" t="s">
        <v>506</v>
      </c>
      <c r="Z301" s="16">
        <v>5</v>
      </c>
      <c r="AA301" s="17">
        <f t="shared" si="55"/>
        <v>0</v>
      </c>
      <c r="AB301" s="9" t="s">
        <v>141</v>
      </c>
    </row>
    <row r="302" spans="2:28">
      <c r="B302" s="189">
        <f t="shared" si="49"/>
        <v>1</v>
      </c>
      <c r="C302" s="112" t="str">
        <f t="shared" si="50"/>
        <v>ATK</v>
      </c>
      <c r="D302" s="7" t="s">
        <v>269</v>
      </c>
      <c r="E302" s="8" t="s">
        <v>1165</v>
      </c>
      <c r="F302" s="8" t="s">
        <v>1165</v>
      </c>
      <c r="G302" s="113">
        <f t="shared" si="51"/>
        <v>1</v>
      </c>
      <c r="H302" s="113" t="str">
        <f t="shared" si="52"/>
        <v>완료</v>
      </c>
      <c r="I302" s="117" t="s">
        <v>412</v>
      </c>
      <c r="J302" s="9" t="s">
        <v>419</v>
      </c>
      <c r="K302" s="10" t="s">
        <v>419</v>
      </c>
      <c r="L302" s="11" t="str">
        <f t="shared" si="48"/>
        <v>Ot</v>
      </c>
      <c r="M302" s="18" t="s">
        <v>154</v>
      </c>
      <c r="N302" s="12" t="s">
        <v>270</v>
      </c>
      <c r="O302" s="18" t="s">
        <v>271</v>
      </c>
      <c r="P302" s="197" t="s">
        <v>272</v>
      </c>
      <c r="Q302" s="120" t="s">
        <v>1167</v>
      </c>
      <c r="R302" s="13" t="s">
        <v>506</v>
      </c>
      <c r="S302" s="7">
        <v>1</v>
      </c>
      <c r="T302" s="14">
        <v>50</v>
      </c>
      <c r="U302" s="15">
        <f t="shared" si="53"/>
        <v>25</v>
      </c>
      <c r="V302" s="14">
        <v>0</v>
      </c>
      <c r="W302" s="15">
        <f t="shared" si="54"/>
        <v>25</v>
      </c>
      <c r="X302" s="9" t="s">
        <v>495</v>
      </c>
      <c r="Y302" s="7" t="s">
        <v>506</v>
      </c>
      <c r="Z302" s="16">
        <v>2</v>
      </c>
      <c r="AA302" s="17">
        <f t="shared" si="55"/>
        <v>0</v>
      </c>
      <c r="AB302" s="9" t="s">
        <v>422</v>
      </c>
    </row>
    <row r="303" spans="2:28">
      <c r="B303" s="189">
        <f t="shared" si="49"/>
        <v>2</v>
      </c>
      <c r="C303" s="112" t="str">
        <f t="shared" si="50"/>
        <v>ATK</v>
      </c>
      <c r="D303" s="7" t="s">
        <v>287</v>
      </c>
      <c r="E303" s="8" t="s">
        <v>1165</v>
      </c>
      <c r="F303" s="8" t="s">
        <v>1156</v>
      </c>
      <c r="G303" s="113">
        <f t="shared" si="51"/>
        <v>1</v>
      </c>
      <c r="H303" s="113" t="str">
        <f t="shared" si="52"/>
        <v>완료</v>
      </c>
      <c r="I303" s="117" t="s">
        <v>412</v>
      </c>
      <c r="J303" s="9" t="s">
        <v>198</v>
      </c>
      <c r="K303" s="10" t="s">
        <v>199</v>
      </c>
      <c r="L303" s="11" t="str">
        <f t="shared" si="48"/>
        <v>3T</v>
      </c>
      <c r="M303" s="18" t="s">
        <v>285</v>
      </c>
      <c r="N303" s="12" t="s">
        <v>506</v>
      </c>
      <c r="O303" s="18" t="s">
        <v>1168</v>
      </c>
      <c r="P303" s="197" t="s">
        <v>286</v>
      </c>
      <c r="Q303" s="120" t="s">
        <v>1169</v>
      </c>
      <c r="R303" s="13" t="s">
        <v>506</v>
      </c>
      <c r="S303" s="7">
        <v>1</v>
      </c>
      <c r="T303" s="14">
        <v>1000</v>
      </c>
      <c r="U303" s="15">
        <f t="shared" si="53"/>
        <v>500</v>
      </c>
      <c r="V303" s="14">
        <v>10</v>
      </c>
      <c r="W303" s="15">
        <f t="shared" si="54"/>
        <v>490</v>
      </c>
      <c r="X303" s="9" t="s">
        <v>495</v>
      </c>
      <c r="Y303" s="7" t="s">
        <v>506</v>
      </c>
      <c r="Z303" s="16">
        <v>4</v>
      </c>
      <c r="AA303" s="17">
        <f t="shared" si="55"/>
        <v>4</v>
      </c>
      <c r="AB303" s="9" t="s">
        <v>141</v>
      </c>
    </row>
    <row r="304" spans="2:28">
      <c r="B304" s="189">
        <f t="shared" si="49"/>
        <v>1</v>
      </c>
      <c r="C304" s="112" t="str">
        <f t="shared" si="50"/>
        <v>ATK</v>
      </c>
      <c r="D304" s="7" t="s">
        <v>288</v>
      </c>
      <c r="E304" s="8" t="s">
        <v>1165</v>
      </c>
      <c r="F304" s="8" t="s">
        <v>1165</v>
      </c>
      <c r="G304" s="113">
        <f t="shared" si="51"/>
        <v>1</v>
      </c>
      <c r="H304" s="113" t="str">
        <f t="shared" si="52"/>
        <v>완료</v>
      </c>
      <c r="I304" s="117" t="s">
        <v>412</v>
      </c>
      <c r="J304" s="9" t="s">
        <v>392</v>
      </c>
      <c r="K304" s="10" t="s">
        <v>393</v>
      </c>
      <c r="L304" s="11" t="str">
        <f t="shared" si="48"/>
        <v>EE</v>
      </c>
      <c r="M304" s="18" t="s">
        <v>289</v>
      </c>
      <c r="N304" s="12" t="s">
        <v>211</v>
      </c>
      <c r="O304" s="18" t="s">
        <v>290</v>
      </c>
      <c r="P304" s="197" t="s">
        <v>506</v>
      </c>
      <c r="Q304" s="120" t="s">
        <v>1170</v>
      </c>
      <c r="R304" s="13" t="s">
        <v>506</v>
      </c>
      <c r="S304" s="7">
        <v>1</v>
      </c>
      <c r="T304" s="14">
        <v>1000</v>
      </c>
      <c r="U304" s="15">
        <f t="shared" si="53"/>
        <v>500</v>
      </c>
      <c r="V304" s="14">
        <v>100</v>
      </c>
      <c r="W304" s="15">
        <f t="shared" si="54"/>
        <v>400</v>
      </c>
      <c r="X304" s="9" t="s">
        <v>495</v>
      </c>
      <c r="Y304" s="7" t="s">
        <v>506</v>
      </c>
      <c r="Z304" s="16">
        <v>2</v>
      </c>
      <c r="AA304" s="17">
        <f t="shared" si="55"/>
        <v>0</v>
      </c>
      <c r="AB304" s="9" t="s">
        <v>376</v>
      </c>
    </row>
    <row r="305" spans="2:28">
      <c r="B305" s="189">
        <f t="shared" si="49"/>
        <v>1</v>
      </c>
      <c r="C305" s="112" t="str">
        <f t="shared" si="50"/>
        <v>ATK</v>
      </c>
      <c r="D305" s="7" t="s">
        <v>288</v>
      </c>
      <c r="E305" s="8" t="s">
        <v>1165</v>
      </c>
      <c r="F305" s="8" t="s">
        <v>1165</v>
      </c>
      <c r="G305" s="113">
        <f t="shared" si="51"/>
        <v>1</v>
      </c>
      <c r="H305" s="113" t="str">
        <f t="shared" si="52"/>
        <v>완료</v>
      </c>
      <c r="I305" s="117" t="s">
        <v>412</v>
      </c>
      <c r="J305" s="9" t="s">
        <v>392</v>
      </c>
      <c r="K305" s="10" t="s">
        <v>393</v>
      </c>
      <c r="L305" s="11" t="str">
        <f t="shared" si="48"/>
        <v>EE</v>
      </c>
      <c r="M305" s="18" t="s">
        <v>289</v>
      </c>
      <c r="N305" s="12" t="s">
        <v>291</v>
      </c>
      <c r="O305" s="18" t="s">
        <v>292</v>
      </c>
      <c r="P305" s="197" t="s">
        <v>506</v>
      </c>
      <c r="Q305" s="120" t="s">
        <v>1171</v>
      </c>
      <c r="R305" s="13" t="s">
        <v>506</v>
      </c>
      <c r="S305" s="7">
        <v>1</v>
      </c>
      <c r="T305" s="14">
        <v>2000</v>
      </c>
      <c r="U305" s="15">
        <f t="shared" si="53"/>
        <v>1000</v>
      </c>
      <c r="V305" s="14">
        <v>50</v>
      </c>
      <c r="W305" s="15">
        <f t="shared" si="54"/>
        <v>950</v>
      </c>
      <c r="X305" s="9" t="s">
        <v>495</v>
      </c>
      <c r="Y305" s="7" t="s">
        <v>506</v>
      </c>
      <c r="Z305" s="16">
        <v>2</v>
      </c>
      <c r="AA305" s="17">
        <f t="shared" si="55"/>
        <v>0</v>
      </c>
      <c r="AB305" s="9" t="s">
        <v>376</v>
      </c>
    </row>
    <row r="306" spans="2:28">
      <c r="B306" s="189">
        <f t="shared" si="49"/>
        <v>1</v>
      </c>
      <c r="C306" s="112" t="str">
        <f t="shared" si="50"/>
        <v>ATK</v>
      </c>
      <c r="D306" s="7" t="s">
        <v>238</v>
      </c>
      <c r="E306" s="8" t="s">
        <v>1172</v>
      </c>
      <c r="F306" s="8" t="s">
        <v>1172</v>
      </c>
      <c r="G306" s="113">
        <f t="shared" si="51"/>
        <v>1</v>
      </c>
      <c r="H306" s="113" t="str">
        <f t="shared" si="52"/>
        <v>완료</v>
      </c>
      <c r="I306" s="117" t="s">
        <v>412</v>
      </c>
      <c r="J306" s="9" t="s">
        <v>491</v>
      </c>
      <c r="K306" s="10" t="s">
        <v>279</v>
      </c>
      <c r="L306" s="11" t="str">
        <f t="shared" si="48"/>
        <v>5T</v>
      </c>
      <c r="M306" s="18" t="s">
        <v>239</v>
      </c>
      <c r="N306" s="12" t="s">
        <v>240</v>
      </c>
      <c r="O306" s="18" t="s">
        <v>506</v>
      </c>
      <c r="P306" s="197" t="s">
        <v>241</v>
      </c>
      <c r="Q306" s="120" t="s">
        <v>532</v>
      </c>
      <c r="R306" s="13" t="s">
        <v>242</v>
      </c>
      <c r="S306" s="7">
        <v>1</v>
      </c>
      <c r="T306" s="14">
        <v>1500</v>
      </c>
      <c r="U306" s="15">
        <f t="shared" si="53"/>
        <v>750</v>
      </c>
      <c r="V306" s="14">
        <v>5</v>
      </c>
      <c r="W306" s="15">
        <f t="shared" si="54"/>
        <v>745</v>
      </c>
      <c r="X306" s="9" t="s">
        <v>495</v>
      </c>
      <c r="Y306" s="7" t="s">
        <v>506</v>
      </c>
      <c r="Z306" s="16">
        <v>2</v>
      </c>
      <c r="AA306" s="17">
        <f t="shared" si="55"/>
        <v>0</v>
      </c>
      <c r="AB306" s="9" t="s">
        <v>213</v>
      </c>
    </row>
    <row r="307" spans="2:28">
      <c r="B307" s="189">
        <f t="shared" si="49"/>
        <v>3</v>
      </c>
      <c r="C307" s="112" t="str">
        <f t="shared" si="50"/>
        <v>ATK</v>
      </c>
      <c r="D307" s="7" t="s">
        <v>404</v>
      </c>
      <c r="E307" s="8" t="s">
        <v>1172</v>
      </c>
      <c r="F307" s="8" t="s">
        <v>1090</v>
      </c>
      <c r="G307" s="113">
        <f t="shared" si="51"/>
        <v>1</v>
      </c>
      <c r="H307" s="113" t="str">
        <f t="shared" si="52"/>
        <v>완료</v>
      </c>
      <c r="I307" s="117" t="s">
        <v>412</v>
      </c>
      <c r="J307" s="9" t="s">
        <v>491</v>
      </c>
      <c r="K307" s="10" t="s">
        <v>279</v>
      </c>
      <c r="L307" s="11" t="str">
        <f t="shared" si="48"/>
        <v>5T</v>
      </c>
      <c r="M307" s="18" t="s">
        <v>432</v>
      </c>
      <c r="N307" s="12" t="s">
        <v>243</v>
      </c>
      <c r="O307" s="18" t="s">
        <v>244</v>
      </c>
      <c r="P307" s="197" t="s">
        <v>245</v>
      </c>
      <c r="Q307" s="120" t="s">
        <v>532</v>
      </c>
      <c r="R307" s="13" t="s">
        <v>268</v>
      </c>
      <c r="S307" s="7">
        <v>1</v>
      </c>
      <c r="T307" s="14">
        <v>3000</v>
      </c>
      <c r="U307" s="15">
        <f t="shared" si="53"/>
        <v>1500</v>
      </c>
      <c r="V307" s="14">
        <v>400</v>
      </c>
      <c r="W307" s="15">
        <f t="shared" si="54"/>
        <v>1100</v>
      </c>
      <c r="X307" s="9" t="s">
        <v>495</v>
      </c>
      <c r="Y307" s="7" t="s">
        <v>506</v>
      </c>
      <c r="Z307" s="16">
        <v>4</v>
      </c>
      <c r="AA307" s="17">
        <f t="shared" si="55"/>
        <v>14</v>
      </c>
      <c r="AB307" s="9" t="s">
        <v>213</v>
      </c>
    </row>
    <row r="308" spans="2:28">
      <c r="B308" s="189">
        <f t="shared" si="49"/>
        <v>1</v>
      </c>
      <c r="C308" s="112" t="str">
        <f t="shared" si="50"/>
        <v>ATK</v>
      </c>
      <c r="D308" s="7" t="s">
        <v>404</v>
      </c>
      <c r="E308" s="8" t="s">
        <v>1172</v>
      </c>
      <c r="F308" s="8" t="s">
        <v>1165</v>
      </c>
      <c r="G308" s="113">
        <f t="shared" si="51"/>
        <v>1</v>
      </c>
      <c r="H308" s="113" t="str">
        <f t="shared" si="52"/>
        <v>완료</v>
      </c>
      <c r="I308" s="117" t="s">
        <v>412</v>
      </c>
      <c r="J308" s="9" t="s">
        <v>491</v>
      </c>
      <c r="K308" s="10" t="s">
        <v>279</v>
      </c>
      <c r="L308" s="11" t="str">
        <f t="shared" si="48"/>
        <v>5T</v>
      </c>
      <c r="M308" s="18" t="s">
        <v>432</v>
      </c>
      <c r="N308" s="12" t="s">
        <v>246</v>
      </c>
      <c r="O308" s="18" t="s">
        <v>247</v>
      </c>
      <c r="P308" s="197" t="s">
        <v>506</v>
      </c>
      <c r="Q308" s="120" t="s">
        <v>671</v>
      </c>
      <c r="R308" s="13" t="s">
        <v>506</v>
      </c>
      <c r="S308" s="7">
        <v>1</v>
      </c>
      <c r="T308" s="14">
        <v>900</v>
      </c>
      <c r="U308" s="15">
        <f t="shared" si="53"/>
        <v>450</v>
      </c>
      <c r="V308" s="14">
        <v>20</v>
      </c>
      <c r="W308" s="15">
        <f t="shared" si="54"/>
        <v>430</v>
      </c>
      <c r="X308" s="9" t="s">
        <v>495</v>
      </c>
      <c r="Y308" s="7" t="s">
        <v>506</v>
      </c>
      <c r="Z308" s="16">
        <v>4</v>
      </c>
      <c r="AA308" s="17">
        <f t="shared" si="55"/>
        <v>1</v>
      </c>
      <c r="AB308" s="9" t="s">
        <v>141</v>
      </c>
    </row>
    <row r="309" spans="2:28">
      <c r="B309" s="189">
        <f t="shared" si="49"/>
        <v>1</v>
      </c>
      <c r="C309" s="112" t="str">
        <f t="shared" si="50"/>
        <v>ATK</v>
      </c>
      <c r="D309" s="7" t="s">
        <v>248</v>
      </c>
      <c r="E309" s="8" t="s">
        <v>1172</v>
      </c>
      <c r="F309" s="8" t="s">
        <v>1172</v>
      </c>
      <c r="G309" s="113">
        <f t="shared" si="51"/>
        <v>1</v>
      </c>
      <c r="H309" s="113" t="str">
        <f t="shared" si="52"/>
        <v>완료</v>
      </c>
      <c r="I309" s="117" t="s">
        <v>412</v>
      </c>
      <c r="J309" s="9" t="s">
        <v>381</v>
      </c>
      <c r="K309" s="10" t="s">
        <v>382</v>
      </c>
      <c r="L309" s="11" t="str">
        <f t="shared" si="48"/>
        <v>2T</v>
      </c>
      <c r="M309" s="18" t="s">
        <v>438</v>
      </c>
      <c r="N309" s="12" t="s">
        <v>252</v>
      </c>
      <c r="O309" s="18" t="s">
        <v>253</v>
      </c>
      <c r="P309" s="197" t="s">
        <v>506</v>
      </c>
      <c r="Q309" s="120" t="s">
        <v>532</v>
      </c>
      <c r="R309" s="13" t="s">
        <v>506</v>
      </c>
      <c r="S309" s="7">
        <v>1</v>
      </c>
      <c r="T309" s="14">
        <v>300</v>
      </c>
      <c r="U309" s="15">
        <f t="shared" si="53"/>
        <v>150</v>
      </c>
      <c r="V309" s="14">
        <v>0</v>
      </c>
      <c r="W309" s="15">
        <f t="shared" si="54"/>
        <v>150</v>
      </c>
      <c r="X309" s="9" t="s">
        <v>495</v>
      </c>
      <c r="Y309" s="7" t="s">
        <v>506</v>
      </c>
      <c r="Z309" s="16">
        <v>2</v>
      </c>
      <c r="AA309" s="17">
        <f t="shared" si="55"/>
        <v>0</v>
      </c>
      <c r="AB309" s="9" t="s">
        <v>376</v>
      </c>
    </row>
    <row r="310" spans="2:28">
      <c r="B310" s="189">
        <f t="shared" si="49"/>
        <v>1</v>
      </c>
      <c r="C310" s="112" t="str">
        <f t="shared" si="50"/>
        <v>ATK</v>
      </c>
      <c r="D310" s="7" t="s">
        <v>257</v>
      </c>
      <c r="E310" s="8" t="s">
        <v>1172</v>
      </c>
      <c r="F310" s="8" t="s">
        <v>1172</v>
      </c>
      <c r="G310" s="113">
        <f t="shared" si="51"/>
        <v>1</v>
      </c>
      <c r="H310" s="113" t="str">
        <f t="shared" si="52"/>
        <v>완료</v>
      </c>
      <c r="I310" s="117" t="s">
        <v>412</v>
      </c>
      <c r="J310" s="9" t="s">
        <v>381</v>
      </c>
      <c r="K310" s="10" t="s">
        <v>170</v>
      </c>
      <c r="L310" s="11" t="str">
        <f t="shared" si="48"/>
        <v>2T</v>
      </c>
      <c r="M310" s="18" t="s">
        <v>258</v>
      </c>
      <c r="N310" s="12" t="s">
        <v>1173</v>
      </c>
      <c r="O310" s="18" t="s">
        <v>259</v>
      </c>
      <c r="P310" s="197" t="s">
        <v>260</v>
      </c>
      <c r="Q310" s="120" t="s">
        <v>1174</v>
      </c>
      <c r="R310" s="13" t="s">
        <v>506</v>
      </c>
      <c r="S310" s="7">
        <v>2</v>
      </c>
      <c r="T310" s="14">
        <v>1000</v>
      </c>
      <c r="U310" s="15">
        <f t="shared" si="53"/>
        <v>1000</v>
      </c>
      <c r="V310" s="14">
        <v>20</v>
      </c>
      <c r="W310" s="15">
        <f t="shared" si="54"/>
        <v>980</v>
      </c>
      <c r="X310" s="9" t="s">
        <v>495</v>
      </c>
      <c r="Y310" s="7" t="s">
        <v>506</v>
      </c>
      <c r="Z310" s="16">
        <v>8</v>
      </c>
      <c r="AA310" s="17">
        <f t="shared" si="55"/>
        <v>0</v>
      </c>
      <c r="AB310" s="9" t="s">
        <v>141</v>
      </c>
    </row>
    <row r="311" spans="2:28" ht="17.25" customHeight="1">
      <c r="B311" s="189">
        <f t="shared" si="49"/>
        <v>3</v>
      </c>
      <c r="C311" s="112" t="str">
        <f t="shared" si="50"/>
        <v>ATK</v>
      </c>
      <c r="D311" s="7" t="s">
        <v>257</v>
      </c>
      <c r="E311" s="8" t="s">
        <v>1172</v>
      </c>
      <c r="F311" s="8" t="s">
        <v>1114</v>
      </c>
      <c r="G311" s="113">
        <f t="shared" si="51"/>
        <v>1</v>
      </c>
      <c r="H311" s="113" t="str">
        <f t="shared" si="52"/>
        <v>완료</v>
      </c>
      <c r="I311" s="117" t="s">
        <v>412</v>
      </c>
      <c r="J311" s="9" t="s">
        <v>381</v>
      </c>
      <c r="K311" s="10" t="s">
        <v>170</v>
      </c>
      <c r="L311" s="11" t="str">
        <f t="shared" si="48"/>
        <v>2T</v>
      </c>
      <c r="M311" s="18" t="s">
        <v>258</v>
      </c>
      <c r="N311" s="12" t="s">
        <v>1173</v>
      </c>
      <c r="O311" s="18" t="s">
        <v>259</v>
      </c>
      <c r="P311" s="197" t="s">
        <v>260</v>
      </c>
      <c r="Q311" s="120" t="s">
        <v>1175</v>
      </c>
      <c r="R311" s="13" t="s">
        <v>506</v>
      </c>
      <c r="S311" s="7">
        <v>1</v>
      </c>
      <c r="T311" s="14">
        <v>1200</v>
      </c>
      <c r="U311" s="15">
        <f t="shared" si="53"/>
        <v>600</v>
      </c>
      <c r="V311" s="14">
        <v>5</v>
      </c>
      <c r="W311" s="15">
        <f t="shared" si="54"/>
        <v>595</v>
      </c>
      <c r="X311" s="9" t="s">
        <v>495</v>
      </c>
      <c r="Y311" s="7" t="s">
        <v>506</v>
      </c>
      <c r="Z311" s="16">
        <v>5</v>
      </c>
      <c r="AA311" s="17">
        <f t="shared" si="55"/>
        <v>12</v>
      </c>
      <c r="AB311" s="9" t="s">
        <v>141</v>
      </c>
    </row>
    <row r="312" spans="2:28">
      <c r="B312" s="189">
        <f t="shared" si="49"/>
        <v>4</v>
      </c>
      <c r="C312" s="112" t="str">
        <f t="shared" si="50"/>
        <v>ATK</v>
      </c>
      <c r="D312" s="7" t="s">
        <v>282</v>
      </c>
      <c r="E312" s="8" t="s">
        <v>1172</v>
      </c>
      <c r="F312" s="8" t="s">
        <v>1000</v>
      </c>
      <c r="G312" s="113">
        <f t="shared" si="51"/>
        <v>1</v>
      </c>
      <c r="H312" s="113" t="str">
        <f t="shared" si="52"/>
        <v>Other</v>
      </c>
      <c r="I312" s="117" t="s">
        <v>401</v>
      </c>
      <c r="J312" s="9" t="s">
        <v>338</v>
      </c>
      <c r="K312" s="10" t="s">
        <v>251</v>
      </c>
      <c r="L312" s="11" t="str">
        <f t="shared" si="48"/>
        <v>1T</v>
      </c>
      <c r="M312" s="18" t="s">
        <v>182</v>
      </c>
      <c r="N312" s="12" t="s">
        <v>297</v>
      </c>
      <c r="O312" s="18" t="s">
        <v>182</v>
      </c>
      <c r="P312" s="197" t="s">
        <v>506</v>
      </c>
      <c r="Q312" s="120" t="s">
        <v>1001</v>
      </c>
      <c r="R312" s="13" t="s">
        <v>506</v>
      </c>
      <c r="S312" s="7">
        <v>1</v>
      </c>
      <c r="T312" s="14">
        <v>1500</v>
      </c>
      <c r="U312" s="15">
        <f t="shared" si="53"/>
        <v>750</v>
      </c>
      <c r="V312" s="14">
        <v>0</v>
      </c>
      <c r="W312" s="15">
        <f t="shared" si="54"/>
        <v>750</v>
      </c>
      <c r="X312" s="9" t="s">
        <v>495</v>
      </c>
      <c r="Y312" s="7" t="s">
        <v>506</v>
      </c>
      <c r="Z312" s="16">
        <v>1</v>
      </c>
      <c r="AA312" s="17">
        <f t="shared" si="55"/>
        <v>23</v>
      </c>
      <c r="AB312" s="9" t="s">
        <v>494</v>
      </c>
    </row>
    <row r="313" spans="2:28">
      <c r="B313" s="189">
        <f t="shared" si="49"/>
        <v>4</v>
      </c>
      <c r="C313" s="112" t="str">
        <f t="shared" si="50"/>
        <v>ATK</v>
      </c>
      <c r="D313" s="7" t="s">
        <v>415</v>
      </c>
      <c r="E313" s="8" t="s">
        <v>1172</v>
      </c>
      <c r="F313" s="8" t="s">
        <v>1020</v>
      </c>
      <c r="G313" s="113">
        <f t="shared" si="51"/>
        <v>1</v>
      </c>
      <c r="H313" s="113" t="str">
        <f t="shared" si="52"/>
        <v>완료</v>
      </c>
      <c r="I313" s="117" t="s">
        <v>412</v>
      </c>
      <c r="J313" s="9" t="s">
        <v>491</v>
      </c>
      <c r="K313" s="10" t="s">
        <v>492</v>
      </c>
      <c r="L313" s="11" t="str">
        <f t="shared" si="48"/>
        <v>5T</v>
      </c>
      <c r="M313" s="18" t="s">
        <v>763</v>
      </c>
      <c r="N313" s="12" t="s">
        <v>1176</v>
      </c>
      <c r="O313" s="18" t="s">
        <v>1177</v>
      </c>
      <c r="P313" s="197" t="s">
        <v>506</v>
      </c>
      <c r="Q313" s="120" t="s">
        <v>1178</v>
      </c>
      <c r="R313" s="13" t="s">
        <v>506</v>
      </c>
      <c r="S313" s="7">
        <v>2</v>
      </c>
      <c r="T313" s="14">
        <v>600</v>
      </c>
      <c r="U313" s="15">
        <f t="shared" si="53"/>
        <v>600</v>
      </c>
      <c r="V313" s="14">
        <v>5</v>
      </c>
      <c r="W313" s="15">
        <f t="shared" si="54"/>
        <v>595</v>
      </c>
      <c r="X313" s="9" t="s">
        <v>495</v>
      </c>
      <c r="Y313" s="7" t="s">
        <v>506</v>
      </c>
      <c r="Z313" s="16">
        <v>3</v>
      </c>
      <c r="AA313" s="17">
        <f t="shared" si="55"/>
        <v>22</v>
      </c>
      <c r="AB313" s="9" t="s">
        <v>376</v>
      </c>
    </row>
    <row r="314" spans="2:28">
      <c r="B314" s="189">
        <f t="shared" si="49"/>
        <v>1</v>
      </c>
      <c r="C314" s="112" t="str">
        <f t="shared" si="50"/>
        <v>ATK</v>
      </c>
      <c r="D314" s="7" t="s">
        <v>205</v>
      </c>
      <c r="E314" s="8" t="s">
        <v>1179</v>
      </c>
      <c r="F314" s="8" t="s">
        <v>1179</v>
      </c>
      <c r="G314" s="113">
        <f t="shared" si="51"/>
        <v>1</v>
      </c>
      <c r="H314" s="113" t="str">
        <f t="shared" si="52"/>
        <v>완료</v>
      </c>
      <c r="I314" s="117" t="s">
        <v>412</v>
      </c>
      <c r="J314" s="9" t="s">
        <v>419</v>
      </c>
      <c r="K314" s="10" t="s">
        <v>419</v>
      </c>
      <c r="L314" s="11" t="str">
        <f t="shared" si="48"/>
        <v>Ot</v>
      </c>
      <c r="M314" s="18" t="s">
        <v>423</v>
      </c>
      <c r="N314" s="12" t="s">
        <v>423</v>
      </c>
      <c r="O314" s="18" t="s">
        <v>204</v>
      </c>
      <c r="P314" s="197" t="s">
        <v>506</v>
      </c>
      <c r="Q314" s="120" t="s">
        <v>1180</v>
      </c>
      <c r="R314" s="13" t="s">
        <v>506</v>
      </c>
      <c r="S314" s="7">
        <v>1</v>
      </c>
      <c r="T314" s="14">
        <v>400</v>
      </c>
      <c r="U314" s="15">
        <f t="shared" si="53"/>
        <v>200</v>
      </c>
      <c r="V314" s="14">
        <v>0</v>
      </c>
      <c r="W314" s="15">
        <f t="shared" si="54"/>
        <v>200</v>
      </c>
      <c r="X314" s="9" t="s">
        <v>495</v>
      </c>
      <c r="Y314" s="7" t="s">
        <v>506</v>
      </c>
      <c r="Z314" s="16">
        <v>1</v>
      </c>
      <c r="AA314" s="17">
        <f t="shared" si="55"/>
        <v>0</v>
      </c>
      <c r="AB314" s="9" t="s">
        <v>494</v>
      </c>
    </row>
    <row r="315" spans="2:28">
      <c r="B315" s="189">
        <f t="shared" si="49"/>
        <v>1</v>
      </c>
      <c r="C315" s="112" t="str">
        <f t="shared" si="50"/>
        <v>ATK</v>
      </c>
      <c r="D315" s="7" t="s">
        <v>210</v>
      </c>
      <c r="E315" s="8" t="s">
        <v>1179</v>
      </c>
      <c r="F315" s="8" t="s">
        <v>1172</v>
      </c>
      <c r="G315" s="113">
        <f t="shared" si="51"/>
        <v>1</v>
      </c>
      <c r="H315" s="113" t="str">
        <f t="shared" si="52"/>
        <v>완료</v>
      </c>
      <c r="I315" s="117" t="s">
        <v>412</v>
      </c>
      <c r="J315" s="9" t="s">
        <v>392</v>
      </c>
      <c r="K315" s="10" t="s">
        <v>485</v>
      </c>
      <c r="L315" s="11" t="str">
        <f t="shared" si="48"/>
        <v>EE</v>
      </c>
      <c r="M315" s="18" t="s">
        <v>423</v>
      </c>
      <c r="N315" s="12" t="s">
        <v>212</v>
      </c>
      <c r="O315" s="18" t="s">
        <v>211</v>
      </c>
      <c r="P315" s="197" t="s">
        <v>506</v>
      </c>
      <c r="Q315" s="120" t="s">
        <v>1181</v>
      </c>
      <c r="R315" s="13" t="s">
        <v>506</v>
      </c>
      <c r="S315" s="7">
        <v>2</v>
      </c>
      <c r="T315" s="14">
        <v>900</v>
      </c>
      <c r="U315" s="15">
        <f t="shared" si="53"/>
        <v>900</v>
      </c>
      <c r="V315" s="14">
        <v>200</v>
      </c>
      <c r="W315" s="15">
        <f t="shared" si="54"/>
        <v>700</v>
      </c>
      <c r="X315" s="9" t="s">
        <v>495</v>
      </c>
      <c r="Y315" s="7" t="s">
        <v>506</v>
      </c>
      <c r="Z315" s="16">
        <v>4</v>
      </c>
      <c r="AA315" s="17">
        <f t="shared" si="55"/>
        <v>1</v>
      </c>
      <c r="AB315" s="9" t="s">
        <v>494</v>
      </c>
    </row>
    <row r="316" spans="2:28">
      <c r="B316" s="189">
        <f t="shared" si="49"/>
        <v>1</v>
      </c>
      <c r="C316" s="112" t="str">
        <f t="shared" si="50"/>
        <v>ATK</v>
      </c>
      <c r="D316" s="7" t="s">
        <v>215</v>
      </c>
      <c r="E316" s="8" t="s">
        <v>1179</v>
      </c>
      <c r="F316" s="8" t="s">
        <v>1165</v>
      </c>
      <c r="G316" s="113">
        <f t="shared" si="51"/>
        <v>1</v>
      </c>
      <c r="H316" s="113" t="str">
        <f t="shared" si="52"/>
        <v>완료</v>
      </c>
      <c r="I316" s="117" t="s">
        <v>412</v>
      </c>
      <c r="J316" s="9" t="s">
        <v>381</v>
      </c>
      <c r="K316" s="10" t="s">
        <v>435</v>
      </c>
      <c r="L316" s="11" t="str">
        <f t="shared" si="48"/>
        <v>2T</v>
      </c>
      <c r="M316" s="18" t="s">
        <v>339</v>
      </c>
      <c r="N316" s="12" t="s">
        <v>216</v>
      </c>
      <c r="O316" s="18" t="s">
        <v>217</v>
      </c>
      <c r="P316" s="197" t="s">
        <v>218</v>
      </c>
      <c r="Q316" s="120" t="s">
        <v>1111</v>
      </c>
      <c r="R316" s="13" t="s">
        <v>506</v>
      </c>
      <c r="S316" s="7">
        <v>2</v>
      </c>
      <c r="T316" s="14">
        <v>1500</v>
      </c>
      <c r="U316" s="15">
        <f t="shared" si="53"/>
        <v>1500</v>
      </c>
      <c r="V316" s="14">
        <v>15</v>
      </c>
      <c r="W316" s="15">
        <f t="shared" si="54"/>
        <v>1485</v>
      </c>
      <c r="X316" s="9" t="s">
        <v>495</v>
      </c>
      <c r="Y316" s="7" t="s">
        <v>506</v>
      </c>
      <c r="Z316" s="16">
        <v>4</v>
      </c>
      <c r="AA316" s="17">
        <f t="shared" si="55"/>
        <v>2</v>
      </c>
      <c r="AB316" s="9" t="s">
        <v>494</v>
      </c>
    </row>
    <row r="317" spans="2:28">
      <c r="B317" s="189">
        <f t="shared" si="49"/>
        <v>1</v>
      </c>
      <c r="C317" s="112" t="str">
        <f t="shared" si="50"/>
        <v>ATK</v>
      </c>
      <c r="D317" s="7" t="s">
        <v>379</v>
      </c>
      <c r="E317" s="8" t="s">
        <v>1179</v>
      </c>
      <c r="F317" s="8" t="s">
        <v>1172</v>
      </c>
      <c r="G317" s="113">
        <f t="shared" si="51"/>
        <v>1</v>
      </c>
      <c r="H317" s="113" t="str">
        <f t="shared" si="52"/>
        <v>완료</v>
      </c>
      <c r="I317" s="117" t="s">
        <v>412</v>
      </c>
      <c r="J317" s="9" t="s">
        <v>377</v>
      </c>
      <c r="K317" s="10" t="s">
        <v>224</v>
      </c>
      <c r="L317" s="11" t="str">
        <f t="shared" si="48"/>
        <v>Bu</v>
      </c>
      <c r="M317" s="18" t="s">
        <v>377</v>
      </c>
      <c r="N317" s="12" t="s">
        <v>225</v>
      </c>
      <c r="O317" s="18" t="s">
        <v>226</v>
      </c>
      <c r="P317" s="197" t="s">
        <v>229</v>
      </c>
      <c r="Q317" s="120" t="s">
        <v>532</v>
      </c>
      <c r="R317" s="13" t="s">
        <v>506</v>
      </c>
      <c r="S317" s="7">
        <v>1</v>
      </c>
      <c r="T317" s="14">
        <v>8900</v>
      </c>
      <c r="U317" s="15">
        <f t="shared" si="53"/>
        <v>4450</v>
      </c>
      <c r="V317" s="14">
        <v>6</v>
      </c>
      <c r="W317" s="15">
        <f t="shared" si="54"/>
        <v>4444</v>
      </c>
      <c r="X317" s="9" t="s">
        <v>495</v>
      </c>
      <c r="Y317" s="7" t="s">
        <v>506</v>
      </c>
      <c r="Z317" s="16">
        <v>3</v>
      </c>
      <c r="AA317" s="17">
        <f t="shared" si="55"/>
        <v>1</v>
      </c>
      <c r="AB317" s="9" t="s">
        <v>213</v>
      </c>
    </row>
    <row r="318" spans="2:28">
      <c r="B318" s="189">
        <f t="shared" si="49"/>
        <v>1</v>
      </c>
      <c r="C318" s="112" t="str">
        <f t="shared" si="50"/>
        <v>ATK</v>
      </c>
      <c r="D318" s="7" t="s">
        <v>230</v>
      </c>
      <c r="E318" s="8" t="s">
        <v>1179</v>
      </c>
      <c r="F318" s="8" t="s">
        <v>1172</v>
      </c>
      <c r="G318" s="113">
        <f t="shared" si="51"/>
        <v>1</v>
      </c>
      <c r="H318" s="113" t="str">
        <f t="shared" si="52"/>
        <v>완료</v>
      </c>
      <c r="I318" s="117" t="s">
        <v>412</v>
      </c>
      <c r="J318" s="9" t="s">
        <v>198</v>
      </c>
      <c r="K318" s="10" t="s">
        <v>199</v>
      </c>
      <c r="L318" s="11" t="str">
        <f t="shared" si="48"/>
        <v>3T</v>
      </c>
      <c r="M318" s="18" t="s">
        <v>231</v>
      </c>
      <c r="N318" s="12" t="s">
        <v>233</v>
      </c>
      <c r="O318" s="18" t="s">
        <v>232</v>
      </c>
      <c r="P318" s="197" t="s">
        <v>234</v>
      </c>
      <c r="Q318" s="120" t="s">
        <v>1182</v>
      </c>
      <c r="R318" s="13" t="s">
        <v>506</v>
      </c>
      <c r="S318" s="7">
        <v>1</v>
      </c>
      <c r="T318" s="14">
        <v>700</v>
      </c>
      <c r="U318" s="15">
        <f t="shared" si="53"/>
        <v>350</v>
      </c>
      <c r="V318" s="14">
        <v>1</v>
      </c>
      <c r="W318" s="15">
        <f t="shared" si="54"/>
        <v>349</v>
      </c>
      <c r="X318" s="9" t="s">
        <v>495</v>
      </c>
      <c r="Y318" s="7" t="s">
        <v>506</v>
      </c>
      <c r="Z318" s="16">
        <v>2</v>
      </c>
      <c r="AA318" s="17">
        <f t="shared" si="55"/>
        <v>1</v>
      </c>
      <c r="AB318" s="9" t="s">
        <v>213</v>
      </c>
    </row>
    <row r="319" spans="2:28">
      <c r="B319" s="189">
        <f t="shared" si="49"/>
        <v>2</v>
      </c>
      <c r="C319" s="112" t="str">
        <f t="shared" si="50"/>
        <v>ATK</v>
      </c>
      <c r="D319" s="7" t="s">
        <v>404</v>
      </c>
      <c r="E319" s="8" t="s">
        <v>1179</v>
      </c>
      <c r="F319" s="8" t="s">
        <v>1156</v>
      </c>
      <c r="G319" s="113">
        <f t="shared" si="51"/>
        <v>1</v>
      </c>
      <c r="H319" s="113" t="str">
        <f t="shared" si="52"/>
        <v>완료</v>
      </c>
      <c r="I319" s="117" t="s">
        <v>412</v>
      </c>
      <c r="J319" s="9" t="s">
        <v>491</v>
      </c>
      <c r="K319" s="10" t="s">
        <v>279</v>
      </c>
      <c r="L319" s="11" t="str">
        <f t="shared" si="48"/>
        <v>5T</v>
      </c>
      <c r="M319" s="18" t="s">
        <v>182</v>
      </c>
      <c r="N319" s="12" t="s">
        <v>280</v>
      </c>
      <c r="O319" s="18" t="s">
        <v>182</v>
      </c>
      <c r="P319" s="197" t="s">
        <v>506</v>
      </c>
      <c r="Q319" s="120" t="s">
        <v>1183</v>
      </c>
      <c r="R319" s="13" t="s">
        <v>506</v>
      </c>
      <c r="S319" s="7">
        <v>1</v>
      </c>
      <c r="T319" s="14">
        <v>710</v>
      </c>
      <c r="U319" s="15">
        <f t="shared" si="53"/>
        <v>355</v>
      </c>
      <c r="V319" s="14">
        <v>25</v>
      </c>
      <c r="W319" s="15">
        <f t="shared" si="54"/>
        <v>330</v>
      </c>
      <c r="X319" s="9" t="s">
        <v>495</v>
      </c>
      <c r="Y319" s="7" t="s">
        <v>506</v>
      </c>
      <c r="Z319" s="16">
        <v>2</v>
      </c>
      <c r="AA319" s="17">
        <f t="shared" si="55"/>
        <v>6</v>
      </c>
      <c r="AB319" s="9" t="s">
        <v>494</v>
      </c>
    </row>
    <row r="320" spans="2:28">
      <c r="B320" s="189">
        <f t="shared" si="49"/>
        <v>2</v>
      </c>
      <c r="C320" s="112" t="str">
        <f t="shared" si="50"/>
        <v>ATK</v>
      </c>
      <c r="D320" s="7" t="s">
        <v>389</v>
      </c>
      <c r="E320" s="8" t="s">
        <v>1184</v>
      </c>
      <c r="F320" s="8" t="s">
        <v>1121</v>
      </c>
      <c r="G320" s="113">
        <f t="shared" si="51"/>
        <v>1</v>
      </c>
      <c r="H320" s="113" t="str">
        <f t="shared" si="52"/>
        <v>완료</v>
      </c>
      <c r="I320" s="117" t="s">
        <v>398</v>
      </c>
      <c r="J320" s="9" t="s">
        <v>381</v>
      </c>
      <c r="K320" s="10" t="s">
        <v>170</v>
      </c>
      <c r="L320" s="11" t="str">
        <f t="shared" si="48"/>
        <v>2T</v>
      </c>
      <c r="M320" s="18" t="s">
        <v>171</v>
      </c>
      <c r="N320" s="12" t="s">
        <v>423</v>
      </c>
      <c r="O320" s="18" t="s">
        <v>172</v>
      </c>
      <c r="P320" s="197" t="s">
        <v>188</v>
      </c>
      <c r="Q320" s="120" t="s">
        <v>1123</v>
      </c>
      <c r="R320" s="13" t="s">
        <v>214</v>
      </c>
      <c r="S320" s="7">
        <v>1</v>
      </c>
      <c r="T320" s="14">
        <v>6000</v>
      </c>
      <c r="U320" s="15">
        <f t="shared" si="53"/>
        <v>3000</v>
      </c>
      <c r="V320" s="14">
        <v>2500</v>
      </c>
      <c r="W320" s="15">
        <f t="shared" si="54"/>
        <v>500</v>
      </c>
      <c r="X320" s="9" t="s">
        <v>236</v>
      </c>
      <c r="Y320" s="7" t="s">
        <v>237</v>
      </c>
      <c r="Z320" s="16">
        <v>1</v>
      </c>
      <c r="AA320" s="17">
        <f t="shared" si="55"/>
        <v>11</v>
      </c>
      <c r="AB320" s="9" t="s">
        <v>213</v>
      </c>
    </row>
    <row r="321" spans="2:28">
      <c r="B321" s="189">
        <f t="shared" si="49"/>
        <v>1</v>
      </c>
      <c r="C321" s="112" t="str">
        <f t="shared" si="50"/>
        <v>ATK</v>
      </c>
      <c r="D321" s="7" t="s">
        <v>324</v>
      </c>
      <c r="E321" s="8" t="s">
        <v>1184</v>
      </c>
      <c r="F321" s="8" t="s">
        <v>1184</v>
      </c>
      <c r="G321" s="113">
        <f t="shared" si="51"/>
        <v>1</v>
      </c>
      <c r="H321" s="113" t="str">
        <f t="shared" si="52"/>
        <v>완료</v>
      </c>
      <c r="I321" s="117" t="s">
        <v>412</v>
      </c>
      <c r="J321" s="9" t="s">
        <v>198</v>
      </c>
      <c r="K321" s="10" t="s">
        <v>199</v>
      </c>
      <c r="L321" s="11" t="str">
        <f t="shared" ref="L321:L362" si="56">LEFT(K321,2)</f>
        <v>3T</v>
      </c>
      <c r="M321" s="18" t="s">
        <v>173</v>
      </c>
      <c r="N321" s="12" t="s">
        <v>174</v>
      </c>
      <c r="O321" s="18" t="s">
        <v>175</v>
      </c>
      <c r="P321" s="197" t="s">
        <v>189</v>
      </c>
      <c r="Q321" s="120" t="s">
        <v>532</v>
      </c>
      <c r="R321" s="13" t="s">
        <v>506</v>
      </c>
      <c r="S321" s="7">
        <v>1</v>
      </c>
      <c r="T321" s="14">
        <v>600</v>
      </c>
      <c r="U321" s="15">
        <f t="shared" si="53"/>
        <v>300</v>
      </c>
      <c r="V321" s="14">
        <v>5</v>
      </c>
      <c r="W321" s="15">
        <f t="shared" si="54"/>
        <v>295</v>
      </c>
      <c r="X321" s="9" t="s">
        <v>495</v>
      </c>
      <c r="Y321" s="7" t="s">
        <v>506</v>
      </c>
      <c r="Z321" s="16">
        <v>1</v>
      </c>
      <c r="AA321" s="17">
        <f t="shared" si="55"/>
        <v>0</v>
      </c>
      <c r="AB321" s="9" t="s">
        <v>213</v>
      </c>
    </row>
    <row r="322" spans="2:28" ht="24">
      <c r="B322" s="189">
        <f t="shared" ref="B322:B362" si="57">IF(F322&gt;0,IFERROR(WEEKNUM(F322),"")-1,"")</f>
        <v>2</v>
      </c>
      <c r="C322" s="112" t="str">
        <f t="shared" ref="C322:C362" si="58">IF(D322=0,"",(IF(LEFT(D322,3)="ATK","ATK",IF(LEFT(D322,2)="AT",D322,"ATK"))))</f>
        <v>ATM</v>
      </c>
      <c r="D322" s="7" t="s">
        <v>27</v>
      </c>
      <c r="E322" s="8" t="s">
        <v>1184</v>
      </c>
      <c r="F322" s="8" t="s">
        <v>1121</v>
      </c>
      <c r="G322" s="113">
        <f t="shared" ref="G322:G362" si="59">IF(F322&gt;0,MONTH(F322),"")</f>
        <v>1</v>
      </c>
      <c r="H322" s="113" t="str">
        <f t="shared" ref="H322:H362" si="60">IF(I322=0,"",IF(RIGHT(I322,2)="완료","완료",IF(RIGHT(I322,2)="불가","수리불가",IF(RIGHT(I322,1)="중","수리중","Other"))))</f>
        <v>완료</v>
      </c>
      <c r="I322" s="117" t="s">
        <v>398</v>
      </c>
      <c r="J322" s="9" t="s">
        <v>27</v>
      </c>
      <c r="K322" s="10" t="s">
        <v>27</v>
      </c>
      <c r="L322" s="11" t="str">
        <f t="shared" si="56"/>
        <v>AT</v>
      </c>
      <c r="M322" s="18" t="s">
        <v>176</v>
      </c>
      <c r="N322" s="12" t="s">
        <v>1185</v>
      </c>
      <c r="O322" s="18" t="s">
        <v>1186</v>
      </c>
      <c r="P322" s="197" t="s">
        <v>506</v>
      </c>
      <c r="Q322" s="120" t="s">
        <v>1187</v>
      </c>
      <c r="R322" s="13" t="s">
        <v>1188</v>
      </c>
      <c r="S322" s="7">
        <v>1</v>
      </c>
      <c r="T322" s="14">
        <v>2320</v>
      </c>
      <c r="U322" s="15">
        <f t="shared" si="53"/>
        <v>1160</v>
      </c>
      <c r="V322" s="14">
        <v>700</v>
      </c>
      <c r="W322" s="15">
        <f t="shared" si="54"/>
        <v>460</v>
      </c>
      <c r="X322" s="9" t="s">
        <v>236</v>
      </c>
      <c r="Y322" s="7" t="s">
        <v>237</v>
      </c>
      <c r="Z322" s="16">
        <v>1</v>
      </c>
      <c r="AA322" s="17">
        <f t="shared" si="55"/>
        <v>11</v>
      </c>
      <c r="AB322" s="9" t="s">
        <v>213</v>
      </c>
    </row>
    <row r="323" spans="2:28">
      <c r="B323" s="189">
        <f t="shared" si="57"/>
        <v>2</v>
      </c>
      <c r="C323" s="112" t="str">
        <f t="shared" si="58"/>
        <v>ATM</v>
      </c>
      <c r="D323" s="7" t="s">
        <v>27</v>
      </c>
      <c r="E323" s="8" t="s">
        <v>1184</v>
      </c>
      <c r="F323" s="8" t="s">
        <v>1121</v>
      </c>
      <c r="G323" s="113">
        <f t="shared" si="59"/>
        <v>1</v>
      </c>
      <c r="H323" s="113" t="str">
        <f t="shared" si="60"/>
        <v>완료</v>
      </c>
      <c r="I323" s="117" t="s">
        <v>398</v>
      </c>
      <c r="J323" s="9" t="s">
        <v>27</v>
      </c>
      <c r="K323" s="10" t="s">
        <v>27</v>
      </c>
      <c r="L323" s="11" t="str">
        <f t="shared" si="56"/>
        <v>AT</v>
      </c>
      <c r="M323" s="18" t="s">
        <v>177</v>
      </c>
      <c r="N323" s="12" t="s">
        <v>178</v>
      </c>
      <c r="O323" s="18" t="s">
        <v>1189</v>
      </c>
      <c r="P323" s="197" t="s">
        <v>506</v>
      </c>
      <c r="Q323" s="120" t="s">
        <v>1190</v>
      </c>
      <c r="R323" s="13" t="s">
        <v>1191</v>
      </c>
      <c r="S323" s="7">
        <v>1</v>
      </c>
      <c r="T323" s="14">
        <v>5220</v>
      </c>
      <c r="U323" s="15">
        <f t="shared" si="53"/>
        <v>2610</v>
      </c>
      <c r="V323" s="14">
        <v>900</v>
      </c>
      <c r="W323" s="15">
        <f t="shared" si="54"/>
        <v>1710</v>
      </c>
      <c r="X323" s="9" t="s">
        <v>236</v>
      </c>
      <c r="Y323" s="7" t="s">
        <v>237</v>
      </c>
      <c r="Z323" s="16">
        <v>1</v>
      </c>
      <c r="AA323" s="17">
        <f t="shared" si="55"/>
        <v>11</v>
      </c>
      <c r="AB323" s="9" t="s">
        <v>213</v>
      </c>
    </row>
    <row r="324" spans="2:28">
      <c r="B324" s="189">
        <f t="shared" si="57"/>
        <v>1</v>
      </c>
      <c r="C324" s="112" t="str">
        <f t="shared" si="58"/>
        <v>ATK</v>
      </c>
      <c r="D324" s="7" t="s">
        <v>418</v>
      </c>
      <c r="E324" s="8" t="s">
        <v>1184</v>
      </c>
      <c r="F324" s="8" t="s">
        <v>1184</v>
      </c>
      <c r="G324" s="113">
        <f t="shared" si="59"/>
        <v>1</v>
      </c>
      <c r="H324" s="113" t="str">
        <f t="shared" si="60"/>
        <v>Other</v>
      </c>
      <c r="I324" s="117" t="s">
        <v>419</v>
      </c>
      <c r="J324" s="9" t="s">
        <v>419</v>
      </c>
      <c r="K324" s="10" t="s">
        <v>419</v>
      </c>
      <c r="L324" s="11" t="str">
        <f t="shared" si="56"/>
        <v>Ot</v>
      </c>
      <c r="M324" s="18" t="s">
        <v>418</v>
      </c>
      <c r="N324" s="12" t="s">
        <v>180</v>
      </c>
      <c r="O324" s="18" t="s">
        <v>423</v>
      </c>
      <c r="P324" s="197" t="s">
        <v>506</v>
      </c>
      <c r="Q324" s="120" t="s">
        <v>1192</v>
      </c>
      <c r="R324" s="13" t="s">
        <v>506</v>
      </c>
      <c r="S324" s="7">
        <v>1</v>
      </c>
      <c r="T324" s="14">
        <v>0</v>
      </c>
      <c r="U324" s="15">
        <f t="shared" ref="U324:U362" si="61">(T324*50)/100*S324</f>
        <v>0</v>
      </c>
      <c r="V324" s="14">
        <v>0</v>
      </c>
      <c r="W324" s="15">
        <f t="shared" ref="W324:W362" si="62">U324-V324</f>
        <v>0</v>
      </c>
      <c r="X324" s="9" t="s">
        <v>495</v>
      </c>
      <c r="Y324" s="7" t="s">
        <v>506</v>
      </c>
      <c r="Z324" s="16">
        <v>1</v>
      </c>
      <c r="AA324" s="17">
        <f t="shared" ref="AA324:AA362" si="63">F324-E324</f>
        <v>0</v>
      </c>
      <c r="AB324" s="9" t="s">
        <v>213</v>
      </c>
    </row>
    <row r="325" spans="2:28">
      <c r="B325" s="189">
        <f t="shared" si="57"/>
        <v>1</v>
      </c>
      <c r="C325" s="112" t="str">
        <f t="shared" si="58"/>
        <v>ATK</v>
      </c>
      <c r="D325" s="7" t="s">
        <v>418</v>
      </c>
      <c r="E325" s="8" t="s">
        <v>1184</v>
      </c>
      <c r="F325" s="8" t="s">
        <v>1184</v>
      </c>
      <c r="G325" s="113">
        <f t="shared" si="59"/>
        <v>1</v>
      </c>
      <c r="H325" s="113" t="str">
        <f t="shared" si="60"/>
        <v>Other</v>
      </c>
      <c r="I325" s="117" t="s">
        <v>419</v>
      </c>
      <c r="J325" s="9" t="s">
        <v>419</v>
      </c>
      <c r="K325" s="10" t="s">
        <v>419</v>
      </c>
      <c r="L325" s="11" t="str">
        <f t="shared" si="56"/>
        <v>Ot</v>
      </c>
      <c r="M325" s="18" t="s">
        <v>418</v>
      </c>
      <c r="N325" s="12" t="s">
        <v>180</v>
      </c>
      <c r="O325" s="18" t="s">
        <v>423</v>
      </c>
      <c r="P325" s="197" t="s">
        <v>506</v>
      </c>
      <c r="Q325" s="120" t="s">
        <v>1192</v>
      </c>
      <c r="R325" s="13" t="s">
        <v>506</v>
      </c>
      <c r="S325" s="7">
        <v>1</v>
      </c>
      <c r="T325" s="14">
        <v>0</v>
      </c>
      <c r="U325" s="15">
        <f t="shared" si="61"/>
        <v>0</v>
      </c>
      <c r="V325" s="14">
        <v>0</v>
      </c>
      <c r="W325" s="15">
        <f t="shared" si="62"/>
        <v>0</v>
      </c>
      <c r="X325" s="9" t="s">
        <v>495</v>
      </c>
      <c r="Y325" s="7" t="s">
        <v>506</v>
      </c>
      <c r="Z325" s="16">
        <v>1</v>
      </c>
      <c r="AA325" s="17">
        <f t="shared" si="63"/>
        <v>0</v>
      </c>
      <c r="AB325" s="9" t="s">
        <v>494</v>
      </c>
    </row>
    <row r="326" spans="2:28">
      <c r="B326" s="189">
        <f t="shared" si="57"/>
        <v>1</v>
      </c>
      <c r="C326" s="112" t="str">
        <f t="shared" si="58"/>
        <v>ATK</v>
      </c>
      <c r="D326" s="7" t="s">
        <v>181</v>
      </c>
      <c r="E326" s="8" t="s">
        <v>1184</v>
      </c>
      <c r="F326" s="8" t="s">
        <v>1184</v>
      </c>
      <c r="G326" s="113">
        <f t="shared" si="59"/>
        <v>1</v>
      </c>
      <c r="H326" s="113" t="str">
        <f t="shared" si="60"/>
        <v>완료</v>
      </c>
      <c r="I326" s="117" t="s">
        <v>412</v>
      </c>
      <c r="J326" s="9" t="s">
        <v>377</v>
      </c>
      <c r="K326" s="10" t="s">
        <v>224</v>
      </c>
      <c r="L326" s="11" t="str">
        <f t="shared" si="56"/>
        <v>Bu</v>
      </c>
      <c r="M326" s="18" t="s">
        <v>182</v>
      </c>
      <c r="N326" s="12" t="s">
        <v>183</v>
      </c>
      <c r="O326" s="18" t="s">
        <v>182</v>
      </c>
      <c r="P326" s="197" t="s">
        <v>506</v>
      </c>
      <c r="Q326" s="120" t="s">
        <v>1193</v>
      </c>
      <c r="R326" s="13" t="s">
        <v>184</v>
      </c>
      <c r="S326" s="7">
        <v>1</v>
      </c>
      <c r="T326" s="14">
        <v>1200</v>
      </c>
      <c r="U326" s="15">
        <f t="shared" si="61"/>
        <v>600</v>
      </c>
      <c r="V326" s="14">
        <v>5</v>
      </c>
      <c r="W326" s="15">
        <f t="shared" si="62"/>
        <v>595</v>
      </c>
      <c r="X326" s="9" t="s">
        <v>495</v>
      </c>
      <c r="Y326" s="7" t="s">
        <v>506</v>
      </c>
      <c r="Z326" s="16">
        <v>3</v>
      </c>
      <c r="AA326" s="17">
        <f t="shared" si="63"/>
        <v>0</v>
      </c>
      <c r="AB326" s="9" t="s">
        <v>494</v>
      </c>
    </row>
    <row r="327" spans="2:28">
      <c r="B327" s="189">
        <f t="shared" si="57"/>
        <v>1</v>
      </c>
      <c r="C327" s="112" t="str">
        <f t="shared" si="58"/>
        <v>ATK</v>
      </c>
      <c r="D327" s="7" t="s">
        <v>307</v>
      </c>
      <c r="E327" s="8" t="s">
        <v>1184</v>
      </c>
      <c r="F327" s="8" t="s">
        <v>1184</v>
      </c>
      <c r="G327" s="113">
        <f t="shared" si="59"/>
        <v>1</v>
      </c>
      <c r="H327" s="113" t="str">
        <f t="shared" si="60"/>
        <v>완료</v>
      </c>
      <c r="I327" s="117" t="s">
        <v>412</v>
      </c>
      <c r="J327" s="9" t="s">
        <v>198</v>
      </c>
      <c r="K327" s="10" t="s">
        <v>186</v>
      </c>
      <c r="L327" s="11" t="str">
        <f t="shared" si="56"/>
        <v>3T</v>
      </c>
      <c r="M327" s="18" t="s">
        <v>190</v>
      </c>
      <c r="N327" s="12" t="s">
        <v>266</v>
      </c>
      <c r="O327" s="18" t="s">
        <v>151</v>
      </c>
      <c r="P327" s="197" t="s">
        <v>311</v>
      </c>
      <c r="Q327" s="120" t="s">
        <v>532</v>
      </c>
      <c r="R327" s="13" t="s">
        <v>506</v>
      </c>
      <c r="S327" s="7">
        <v>2</v>
      </c>
      <c r="T327" s="14">
        <v>12000</v>
      </c>
      <c r="U327" s="15">
        <f t="shared" si="61"/>
        <v>12000</v>
      </c>
      <c r="V327" s="14">
        <v>60</v>
      </c>
      <c r="W327" s="15">
        <f t="shared" si="62"/>
        <v>11940</v>
      </c>
      <c r="X327" s="9" t="s">
        <v>495</v>
      </c>
      <c r="Y327" s="7" t="s">
        <v>506</v>
      </c>
      <c r="Z327" s="16">
        <v>1</v>
      </c>
      <c r="AA327" s="17">
        <f t="shared" si="63"/>
        <v>0</v>
      </c>
      <c r="AB327" s="9" t="s">
        <v>213</v>
      </c>
    </row>
    <row r="328" spans="2:28">
      <c r="B328" s="189">
        <f t="shared" si="57"/>
        <v>1</v>
      </c>
      <c r="C328" s="112" t="str">
        <f t="shared" si="58"/>
        <v>ATK</v>
      </c>
      <c r="D328" s="7" t="s">
        <v>265</v>
      </c>
      <c r="E328" s="8" t="s">
        <v>1184</v>
      </c>
      <c r="F328" s="8" t="s">
        <v>1184</v>
      </c>
      <c r="G328" s="113">
        <f t="shared" si="59"/>
        <v>1</v>
      </c>
      <c r="H328" s="113" t="str">
        <f t="shared" si="60"/>
        <v>완료</v>
      </c>
      <c r="I328" s="117" t="s">
        <v>412</v>
      </c>
      <c r="J328" s="9" t="s">
        <v>338</v>
      </c>
      <c r="K328" s="10" t="s">
        <v>143</v>
      </c>
      <c r="L328" s="11" t="str">
        <f t="shared" si="56"/>
        <v>1T</v>
      </c>
      <c r="M328" s="18" t="s">
        <v>190</v>
      </c>
      <c r="N328" s="12" t="s">
        <v>266</v>
      </c>
      <c r="O328" s="18" t="s">
        <v>187</v>
      </c>
      <c r="P328" s="197" t="s">
        <v>506</v>
      </c>
      <c r="Q328" s="120" t="s">
        <v>532</v>
      </c>
      <c r="R328" s="13" t="s">
        <v>506</v>
      </c>
      <c r="S328" s="7">
        <v>1</v>
      </c>
      <c r="T328" s="14">
        <v>8000</v>
      </c>
      <c r="U328" s="15">
        <f t="shared" si="61"/>
        <v>4000</v>
      </c>
      <c r="V328" s="14">
        <v>30</v>
      </c>
      <c r="W328" s="15">
        <f t="shared" si="62"/>
        <v>3970</v>
      </c>
      <c r="X328" s="9" t="s">
        <v>495</v>
      </c>
      <c r="Y328" s="7" t="s">
        <v>506</v>
      </c>
      <c r="Z328" s="16">
        <v>3</v>
      </c>
      <c r="AA328" s="17">
        <f t="shared" si="63"/>
        <v>0</v>
      </c>
      <c r="AB328" s="9" t="s">
        <v>213</v>
      </c>
    </row>
    <row r="329" spans="2:28">
      <c r="B329" s="189">
        <f t="shared" si="57"/>
        <v>1</v>
      </c>
      <c r="C329" s="112" t="str">
        <f t="shared" si="58"/>
        <v>ATK</v>
      </c>
      <c r="D329" s="7" t="s">
        <v>148</v>
      </c>
      <c r="E329" s="8" t="s">
        <v>1184</v>
      </c>
      <c r="F329" s="8" t="s">
        <v>1172</v>
      </c>
      <c r="G329" s="113">
        <f t="shared" si="59"/>
        <v>1</v>
      </c>
      <c r="H329" s="113" t="str">
        <f t="shared" si="60"/>
        <v>완료</v>
      </c>
      <c r="I329" s="117" t="s">
        <v>412</v>
      </c>
      <c r="J329" s="9" t="s">
        <v>381</v>
      </c>
      <c r="K329" s="10" t="s">
        <v>435</v>
      </c>
      <c r="L329" s="11" t="str">
        <f t="shared" si="56"/>
        <v>2T</v>
      </c>
      <c r="M329" s="18" t="s">
        <v>339</v>
      </c>
      <c r="N329" s="12" t="s">
        <v>436</v>
      </c>
      <c r="O329" s="18" t="s">
        <v>195</v>
      </c>
      <c r="P329" s="197" t="s">
        <v>194</v>
      </c>
      <c r="Q329" s="120" t="s">
        <v>1110</v>
      </c>
      <c r="R329" s="13" t="s">
        <v>506</v>
      </c>
      <c r="S329" s="7">
        <v>1</v>
      </c>
      <c r="T329" s="14">
        <v>4500</v>
      </c>
      <c r="U329" s="15">
        <f t="shared" si="61"/>
        <v>2250</v>
      </c>
      <c r="V329" s="14">
        <v>50</v>
      </c>
      <c r="W329" s="15">
        <f t="shared" si="62"/>
        <v>2200</v>
      </c>
      <c r="X329" s="9" t="s">
        <v>495</v>
      </c>
      <c r="Y329" s="7" t="s">
        <v>506</v>
      </c>
      <c r="Z329" s="16">
        <v>6</v>
      </c>
      <c r="AA329" s="17">
        <f t="shared" si="63"/>
        <v>2</v>
      </c>
      <c r="AB329" s="9" t="s">
        <v>376</v>
      </c>
    </row>
    <row r="330" spans="2:28">
      <c r="B330" s="189">
        <f t="shared" si="57"/>
        <v>1</v>
      </c>
      <c r="C330" s="112" t="str">
        <f t="shared" si="58"/>
        <v>ATK</v>
      </c>
      <c r="D330" s="7" t="s">
        <v>273</v>
      </c>
      <c r="E330" s="8" t="s">
        <v>1184</v>
      </c>
      <c r="F330" s="8" t="s">
        <v>1184</v>
      </c>
      <c r="G330" s="113">
        <f t="shared" si="59"/>
        <v>1</v>
      </c>
      <c r="H330" s="113" t="str">
        <f t="shared" si="60"/>
        <v>완료</v>
      </c>
      <c r="I330" s="117" t="s">
        <v>412</v>
      </c>
      <c r="J330" s="9" t="s">
        <v>198</v>
      </c>
      <c r="K330" s="10" t="s">
        <v>199</v>
      </c>
      <c r="L330" s="11" t="str">
        <f t="shared" si="56"/>
        <v>3T</v>
      </c>
      <c r="M330" s="18" t="s">
        <v>423</v>
      </c>
      <c r="N330" s="12" t="s">
        <v>200</v>
      </c>
      <c r="O330" s="18" t="s">
        <v>211</v>
      </c>
      <c r="P330" s="197" t="s">
        <v>506</v>
      </c>
      <c r="Q330" s="120" t="s">
        <v>1194</v>
      </c>
      <c r="R330" s="13" t="s">
        <v>506</v>
      </c>
      <c r="S330" s="7">
        <v>1</v>
      </c>
      <c r="T330" s="14">
        <v>300</v>
      </c>
      <c r="U330" s="15">
        <f t="shared" si="61"/>
        <v>150</v>
      </c>
      <c r="V330" s="14">
        <v>100</v>
      </c>
      <c r="W330" s="15">
        <f t="shared" si="62"/>
        <v>50</v>
      </c>
      <c r="X330" s="9" t="s">
        <v>495</v>
      </c>
      <c r="Y330" s="7" t="s">
        <v>506</v>
      </c>
      <c r="Z330" s="16">
        <v>1</v>
      </c>
      <c r="AA330" s="17">
        <f t="shared" si="63"/>
        <v>0</v>
      </c>
      <c r="AB330" s="9" t="s">
        <v>494</v>
      </c>
    </row>
    <row r="331" spans="2:28">
      <c r="B331" s="189">
        <f t="shared" si="57"/>
        <v>2</v>
      </c>
      <c r="C331" s="112" t="str">
        <f t="shared" si="58"/>
        <v>ATK</v>
      </c>
      <c r="D331" s="7" t="s">
        <v>228</v>
      </c>
      <c r="E331" s="8" t="s">
        <v>1184</v>
      </c>
      <c r="F331" s="8" t="s">
        <v>1121</v>
      </c>
      <c r="G331" s="113">
        <f t="shared" si="59"/>
        <v>1</v>
      </c>
      <c r="H331" s="113" t="str">
        <f t="shared" si="60"/>
        <v>수리불가</v>
      </c>
      <c r="I331" s="117" t="s">
        <v>397</v>
      </c>
      <c r="J331" s="9" t="s">
        <v>198</v>
      </c>
      <c r="K331" s="10" t="s">
        <v>199</v>
      </c>
      <c r="L331" s="11" t="str">
        <f t="shared" si="56"/>
        <v>3T</v>
      </c>
      <c r="M331" s="18" t="s">
        <v>220</v>
      </c>
      <c r="N331" s="12" t="s">
        <v>221</v>
      </c>
      <c r="O331" s="18" t="s">
        <v>250</v>
      </c>
      <c r="P331" s="197" t="s">
        <v>222</v>
      </c>
      <c r="Q331" s="120" t="s">
        <v>1195</v>
      </c>
      <c r="R331" s="13" t="s">
        <v>506</v>
      </c>
      <c r="S331" s="7">
        <v>1</v>
      </c>
      <c r="T331" s="14">
        <v>1500</v>
      </c>
      <c r="U331" s="15">
        <f t="shared" si="61"/>
        <v>750</v>
      </c>
      <c r="V331" s="14">
        <v>0</v>
      </c>
      <c r="W331" s="15">
        <f t="shared" si="62"/>
        <v>750</v>
      </c>
      <c r="X331" s="9" t="s">
        <v>495</v>
      </c>
      <c r="Y331" s="7" t="s">
        <v>506</v>
      </c>
      <c r="Z331" s="16">
        <v>1</v>
      </c>
      <c r="AA331" s="17">
        <f t="shared" si="63"/>
        <v>11</v>
      </c>
      <c r="AB331" s="9" t="s">
        <v>141</v>
      </c>
    </row>
    <row r="332" spans="2:28" ht="17.25" customHeight="1">
      <c r="B332" s="189">
        <f t="shared" si="57"/>
        <v>1</v>
      </c>
      <c r="C332" s="112" t="str">
        <f t="shared" si="58"/>
        <v>ATK</v>
      </c>
      <c r="D332" s="7" t="s">
        <v>219</v>
      </c>
      <c r="E332" s="8" t="s">
        <v>1184</v>
      </c>
      <c r="F332" s="8" t="s">
        <v>1179</v>
      </c>
      <c r="G332" s="113">
        <f t="shared" si="59"/>
        <v>1</v>
      </c>
      <c r="H332" s="113" t="str">
        <f t="shared" si="60"/>
        <v>완료</v>
      </c>
      <c r="I332" s="117" t="s">
        <v>412</v>
      </c>
      <c r="J332" s="9" t="s">
        <v>338</v>
      </c>
      <c r="K332" s="10" t="s">
        <v>206</v>
      </c>
      <c r="L332" s="11" t="str">
        <f t="shared" si="56"/>
        <v>1T</v>
      </c>
      <c r="M332" s="18" t="s">
        <v>258</v>
      </c>
      <c r="N332" s="12" t="s">
        <v>258</v>
      </c>
      <c r="O332" s="18" t="s">
        <v>223</v>
      </c>
      <c r="P332" s="197" t="s">
        <v>261</v>
      </c>
      <c r="Q332" s="120" t="s">
        <v>1196</v>
      </c>
      <c r="R332" s="13" t="s">
        <v>506</v>
      </c>
      <c r="S332" s="7">
        <v>1</v>
      </c>
      <c r="T332" s="14">
        <v>1000</v>
      </c>
      <c r="U332" s="15">
        <f t="shared" si="61"/>
        <v>500</v>
      </c>
      <c r="V332" s="14">
        <v>20</v>
      </c>
      <c r="W332" s="15">
        <f t="shared" si="62"/>
        <v>480</v>
      </c>
      <c r="X332" s="9" t="s">
        <v>495</v>
      </c>
      <c r="Y332" s="7" t="s">
        <v>506</v>
      </c>
      <c r="Z332" s="16">
        <v>4</v>
      </c>
      <c r="AA332" s="17">
        <f t="shared" si="63"/>
        <v>1</v>
      </c>
      <c r="AB332" s="9" t="s">
        <v>141</v>
      </c>
    </row>
    <row r="333" spans="2:28" ht="17.25" customHeight="1">
      <c r="B333" s="189">
        <f t="shared" si="57"/>
        <v>1</v>
      </c>
      <c r="C333" s="112" t="str">
        <f t="shared" si="58"/>
        <v>ATK</v>
      </c>
      <c r="D333" s="7" t="s">
        <v>219</v>
      </c>
      <c r="E333" s="8" t="s">
        <v>1184</v>
      </c>
      <c r="F333" s="8" t="s">
        <v>1172</v>
      </c>
      <c r="G333" s="113">
        <f t="shared" si="59"/>
        <v>1</v>
      </c>
      <c r="H333" s="113" t="str">
        <f t="shared" si="60"/>
        <v>완료</v>
      </c>
      <c r="I333" s="117" t="s">
        <v>412</v>
      </c>
      <c r="J333" s="9" t="s">
        <v>338</v>
      </c>
      <c r="K333" s="10" t="s">
        <v>206</v>
      </c>
      <c r="L333" s="11" t="str">
        <f t="shared" si="56"/>
        <v>1T</v>
      </c>
      <c r="M333" s="18" t="s">
        <v>207</v>
      </c>
      <c r="N333" s="12" t="s">
        <v>208</v>
      </c>
      <c r="O333" s="18" t="s">
        <v>209</v>
      </c>
      <c r="P333" s="197" t="s">
        <v>208</v>
      </c>
      <c r="Q333" s="120" t="s">
        <v>1197</v>
      </c>
      <c r="R333" s="13" t="s">
        <v>235</v>
      </c>
      <c r="S333" s="7">
        <v>1</v>
      </c>
      <c r="T333" s="14">
        <v>2400</v>
      </c>
      <c r="U333" s="15">
        <f t="shared" si="61"/>
        <v>1200</v>
      </c>
      <c r="V333" s="14">
        <v>2</v>
      </c>
      <c r="W333" s="15">
        <f t="shared" si="62"/>
        <v>1198</v>
      </c>
      <c r="X333" s="9" t="s">
        <v>495</v>
      </c>
      <c r="Y333" s="7" t="s">
        <v>506</v>
      </c>
      <c r="Z333" s="16">
        <v>4</v>
      </c>
      <c r="AA333" s="17">
        <f t="shared" si="63"/>
        <v>2</v>
      </c>
      <c r="AB333" s="9" t="s">
        <v>422</v>
      </c>
    </row>
    <row r="334" spans="2:28">
      <c r="B334" s="189">
        <f t="shared" si="57"/>
        <v>1</v>
      </c>
      <c r="C334" s="112" t="str">
        <f t="shared" si="58"/>
        <v>ATK</v>
      </c>
      <c r="D334" s="7" t="s">
        <v>215</v>
      </c>
      <c r="E334" s="8" t="s">
        <v>1184</v>
      </c>
      <c r="F334" s="8" t="s">
        <v>1165</v>
      </c>
      <c r="G334" s="113">
        <f t="shared" si="59"/>
        <v>1</v>
      </c>
      <c r="H334" s="113" t="str">
        <f t="shared" si="60"/>
        <v>완료</v>
      </c>
      <c r="I334" s="117" t="s">
        <v>412</v>
      </c>
      <c r="J334" s="9" t="s">
        <v>381</v>
      </c>
      <c r="K334" s="10" t="s">
        <v>435</v>
      </c>
      <c r="L334" s="11" t="str">
        <f t="shared" si="56"/>
        <v>2T</v>
      </c>
      <c r="M334" s="18" t="s">
        <v>339</v>
      </c>
      <c r="N334" s="12" t="s">
        <v>216</v>
      </c>
      <c r="O334" s="18" t="s">
        <v>256</v>
      </c>
      <c r="P334" s="197" t="s">
        <v>255</v>
      </c>
      <c r="Q334" s="120" t="s">
        <v>749</v>
      </c>
      <c r="R334" s="13" t="s">
        <v>506</v>
      </c>
      <c r="S334" s="7">
        <v>1</v>
      </c>
      <c r="T334" s="14">
        <v>1600</v>
      </c>
      <c r="U334" s="15">
        <f t="shared" si="61"/>
        <v>800</v>
      </c>
      <c r="V334" s="14">
        <v>30</v>
      </c>
      <c r="W334" s="15">
        <f t="shared" si="62"/>
        <v>770</v>
      </c>
      <c r="X334" s="9" t="s">
        <v>495</v>
      </c>
      <c r="Y334" s="7" t="s">
        <v>506</v>
      </c>
      <c r="Z334" s="16">
        <v>4</v>
      </c>
      <c r="AA334" s="17">
        <f t="shared" si="63"/>
        <v>3</v>
      </c>
      <c r="AB334" s="9" t="s">
        <v>376</v>
      </c>
    </row>
    <row r="335" spans="2:28">
      <c r="B335" s="189">
        <f t="shared" si="57"/>
        <v>1</v>
      </c>
      <c r="C335" s="112" t="str">
        <f t="shared" si="58"/>
        <v>ATK</v>
      </c>
      <c r="D335" s="7" t="s">
        <v>273</v>
      </c>
      <c r="E335" s="8" t="s">
        <v>1184</v>
      </c>
      <c r="F335" s="8" t="s">
        <v>1160</v>
      </c>
      <c r="G335" s="113">
        <f t="shared" si="59"/>
        <v>1</v>
      </c>
      <c r="H335" s="113" t="str">
        <f t="shared" si="60"/>
        <v>Other</v>
      </c>
      <c r="I335" s="117" t="s">
        <v>401</v>
      </c>
      <c r="J335" s="9" t="s">
        <v>198</v>
      </c>
      <c r="K335" s="10" t="s">
        <v>199</v>
      </c>
      <c r="L335" s="11" t="str">
        <f t="shared" si="56"/>
        <v>3T</v>
      </c>
      <c r="M335" s="18" t="s">
        <v>353</v>
      </c>
      <c r="N335" s="12" t="s">
        <v>274</v>
      </c>
      <c r="O335" s="18" t="s">
        <v>353</v>
      </c>
      <c r="P335" s="197" t="s">
        <v>506</v>
      </c>
      <c r="Q335" s="120" t="s">
        <v>1198</v>
      </c>
      <c r="R335" s="13" t="s">
        <v>506</v>
      </c>
      <c r="S335" s="7">
        <v>1</v>
      </c>
      <c r="T335" s="14">
        <v>350</v>
      </c>
      <c r="U335" s="15">
        <f t="shared" si="61"/>
        <v>175</v>
      </c>
      <c r="V335" s="14">
        <v>0</v>
      </c>
      <c r="W335" s="15">
        <f t="shared" si="62"/>
        <v>175</v>
      </c>
      <c r="X335" s="9" t="s">
        <v>495</v>
      </c>
      <c r="Y335" s="7" t="s">
        <v>506</v>
      </c>
      <c r="Z335" s="16">
        <v>1</v>
      </c>
      <c r="AA335" s="17">
        <f t="shared" si="63"/>
        <v>4</v>
      </c>
      <c r="AB335" s="9" t="s">
        <v>494</v>
      </c>
    </row>
    <row r="336" spans="2:28">
      <c r="B336" s="189">
        <f t="shared" si="57"/>
        <v>4</v>
      </c>
      <c r="C336" s="112" t="str">
        <f t="shared" si="58"/>
        <v>ATK</v>
      </c>
      <c r="D336" s="7" t="s">
        <v>276</v>
      </c>
      <c r="E336" s="8" t="s">
        <v>1184</v>
      </c>
      <c r="F336" s="8" t="s">
        <v>1000</v>
      </c>
      <c r="G336" s="113">
        <f t="shared" si="59"/>
        <v>1</v>
      </c>
      <c r="H336" s="113" t="str">
        <f t="shared" si="60"/>
        <v>완료</v>
      </c>
      <c r="I336" s="117" t="s">
        <v>412</v>
      </c>
      <c r="J336" s="9" t="s">
        <v>381</v>
      </c>
      <c r="K336" s="10" t="s">
        <v>382</v>
      </c>
      <c r="L336" s="11" t="str">
        <f t="shared" si="56"/>
        <v>2T</v>
      </c>
      <c r="M336" s="18" t="s">
        <v>182</v>
      </c>
      <c r="N336" s="12" t="s">
        <v>278</v>
      </c>
      <c r="O336" s="18" t="s">
        <v>182</v>
      </c>
      <c r="P336" s="197" t="s">
        <v>506</v>
      </c>
      <c r="Q336" s="120" t="s">
        <v>1199</v>
      </c>
      <c r="R336" s="13" t="s">
        <v>506</v>
      </c>
      <c r="S336" s="7">
        <v>2</v>
      </c>
      <c r="T336" s="14">
        <v>910</v>
      </c>
      <c r="U336" s="15">
        <f t="shared" si="61"/>
        <v>910</v>
      </c>
      <c r="V336" s="14">
        <v>0</v>
      </c>
      <c r="W336" s="15">
        <f t="shared" si="62"/>
        <v>910</v>
      </c>
      <c r="X336" s="9" t="s">
        <v>495</v>
      </c>
      <c r="Y336" s="7" t="s">
        <v>506</v>
      </c>
      <c r="Z336" s="16">
        <v>2</v>
      </c>
      <c r="AA336" s="17">
        <f t="shared" si="63"/>
        <v>25</v>
      </c>
      <c r="AB336" s="9" t="s">
        <v>494</v>
      </c>
    </row>
    <row r="337" spans="2:28" ht="17.25" customHeight="1">
      <c r="B337" s="189">
        <f t="shared" si="57"/>
        <v>1</v>
      </c>
      <c r="C337" s="112" t="str">
        <f t="shared" si="58"/>
        <v/>
      </c>
      <c r="D337" s="7"/>
      <c r="E337" s="8" t="s">
        <v>1184</v>
      </c>
      <c r="F337" s="8" t="s">
        <v>1184</v>
      </c>
      <c r="G337" s="113">
        <f t="shared" si="59"/>
        <v>1</v>
      </c>
      <c r="H337" s="113" t="str">
        <f t="shared" si="60"/>
        <v>완료</v>
      </c>
      <c r="I337" s="117" t="s">
        <v>412</v>
      </c>
      <c r="J337" s="9" t="s">
        <v>338</v>
      </c>
      <c r="K337" s="10" t="s">
        <v>206</v>
      </c>
      <c r="L337" s="11" t="str">
        <f t="shared" si="56"/>
        <v>1T</v>
      </c>
      <c r="M337" s="18" t="s">
        <v>207</v>
      </c>
      <c r="N337" s="12" t="s">
        <v>208</v>
      </c>
      <c r="O337" s="18" t="s">
        <v>209</v>
      </c>
      <c r="P337" s="197" t="s">
        <v>208</v>
      </c>
      <c r="Q337" s="120" t="s">
        <v>811</v>
      </c>
      <c r="R337" s="13" t="s">
        <v>506</v>
      </c>
      <c r="S337" s="7">
        <v>1</v>
      </c>
      <c r="T337" s="14">
        <v>2400</v>
      </c>
      <c r="U337" s="15">
        <f t="shared" si="61"/>
        <v>1200</v>
      </c>
      <c r="V337" s="14">
        <v>2</v>
      </c>
      <c r="W337" s="15">
        <f t="shared" si="62"/>
        <v>1198</v>
      </c>
      <c r="X337" s="9" t="s">
        <v>495</v>
      </c>
      <c r="Y337" s="7" t="s">
        <v>506</v>
      </c>
      <c r="Z337" s="16">
        <v>4</v>
      </c>
      <c r="AA337" s="17">
        <f t="shared" si="63"/>
        <v>0</v>
      </c>
      <c r="AB337" s="9" t="s">
        <v>422</v>
      </c>
    </row>
    <row r="338" spans="2:28">
      <c r="B338" s="189" t="str">
        <f t="shared" si="57"/>
        <v/>
      </c>
      <c r="C338" s="112" t="str">
        <f t="shared" si="58"/>
        <v/>
      </c>
      <c r="D338" s="7"/>
      <c r="E338" s="8"/>
      <c r="F338" s="8"/>
      <c r="G338" s="113" t="str">
        <f t="shared" si="59"/>
        <v/>
      </c>
      <c r="H338" s="113" t="str">
        <f t="shared" si="60"/>
        <v/>
      </c>
      <c r="I338" s="117"/>
      <c r="J338" s="9"/>
      <c r="K338" s="10"/>
      <c r="L338" s="11" t="str">
        <f t="shared" si="56"/>
        <v/>
      </c>
      <c r="M338" s="11"/>
      <c r="N338" s="11"/>
      <c r="O338" s="11"/>
      <c r="P338" s="11"/>
      <c r="Q338" s="11"/>
      <c r="R338" s="11"/>
      <c r="S338" s="11"/>
      <c r="T338" s="11"/>
      <c r="U338" s="15">
        <f t="shared" si="61"/>
        <v>0</v>
      </c>
      <c r="V338" s="15"/>
      <c r="W338" s="15">
        <f t="shared" si="62"/>
        <v>0</v>
      </c>
      <c r="X338" s="15"/>
      <c r="Y338" s="15"/>
      <c r="Z338" s="15"/>
      <c r="AA338" s="17">
        <f t="shared" si="63"/>
        <v>0</v>
      </c>
      <c r="AB338" s="17"/>
    </row>
    <row r="339" spans="2:28">
      <c r="B339" s="189" t="str">
        <f t="shared" si="57"/>
        <v/>
      </c>
      <c r="C339" s="112" t="str">
        <f t="shared" si="58"/>
        <v/>
      </c>
      <c r="D339" s="7"/>
      <c r="E339" s="8"/>
      <c r="F339" s="8"/>
      <c r="G339" s="113" t="str">
        <f t="shared" si="59"/>
        <v/>
      </c>
      <c r="H339" s="113" t="str">
        <f t="shared" si="60"/>
        <v/>
      </c>
      <c r="I339" s="117"/>
      <c r="J339" s="9"/>
      <c r="K339" s="10"/>
      <c r="L339" s="11" t="str">
        <f t="shared" si="56"/>
        <v/>
      </c>
      <c r="M339" s="11"/>
      <c r="N339" s="11"/>
      <c r="O339" s="11"/>
      <c r="P339" s="11"/>
      <c r="Q339" s="11"/>
      <c r="R339" s="11"/>
      <c r="S339" s="11"/>
      <c r="T339" s="11"/>
      <c r="U339" s="15">
        <f t="shared" si="61"/>
        <v>0</v>
      </c>
      <c r="V339" s="15"/>
      <c r="W339" s="15">
        <f t="shared" si="62"/>
        <v>0</v>
      </c>
      <c r="X339" s="15"/>
      <c r="Y339" s="15"/>
      <c r="Z339" s="15"/>
      <c r="AA339" s="17">
        <f t="shared" si="63"/>
        <v>0</v>
      </c>
      <c r="AB339" s="17"/>
    </row>
    <row r="340" spans="2:28">
      <c r="B340" s="189" t="str">
        <f t="shared" si="57"/>
        <v/>
      </c>
      <c r="C340" s="112" t="str">
        <f t="shared" si="58"/>
        <v/>
      </c>
      <c r="D340" s="7"/>
      <c r="E340" s="8"/>
      <c r="F340" s="8"/>
      <c r="G340" s="113" t="str">
        <f t="shared" si="59"/>
        <v/>
      </c>
      <c r="H340" s="113" t="str">
        <f t="shared" si="60"/>
        <v/>
      </c>
      <c r="I340" s="117"/>
      <c r="J340" s="9"/>
      <c r="K340" s="10"/>
      <c r="L340" s="11" t="str">
        <f t="shared" si="56"/>
        <v/>
      </c>
      <c r="M340" s="11"/>
      <c r="N340" s="11"/>
      <c r="O340" s="11"/>
      <c r="P340" s="11"/>
      <c r="Q340" s="11"/>
      <c r="R340" s="11"/>
      <c r="S340" s="11"/>
      <c r="T340" s="11"/>
      <c r="U340" s="15">
        <f t="shared" si="61"/>
        <v>0</v>
      </c>
      <c r="V340" s="15"/>
      <c r="W340" s="15">
        <f t="shared" si="62"/>
        <v>0</v>
      </c>
      <c r="X340" s="15"/>
      <c r="Y340" s="15"/>
      <c r="Z340" s="15"/>
      <c r="AA340" s="17">
        <f t="shared" si="63"/>
        <v>0</v>
      </c>
      <c r="AB340" s="17"/>
    </row>
    <row r="341" spans="2:28">
      <c r="B341" s="189" t="str">
        <f t="shared" si="57"/>
        <v/>
      </c>
      <c r="C341" s="112" t="str">
        <f t="shared" si="58"/>
        <v/>
      </c>
      <c r="D341" s="7"/>
      <c r="E341" s="8"/>
      <c r="F341" s="8"/>
      <c r="G341" s="113" t="str">
        <f t="shared" si="59"/>
        <v/>
      </c>
      <c r="H341" s="113" t="str">
        <f t="shared" si="60"/>
        <v/>
      </c>
      <c r="I341" s="117"/>
      <c r="J341" s="9"/>
      <c r="K341" s="10"/>
      <c r="L341" s="11" t="str">
        <f t="shared" si="56"/>
        <v/>
      </c>
      <c r="M341" s="11"/>
      <c r="N341" s="11"/>
      <c r="O341" s="11"/>
      <c r="P341" s="11"/>
      <c r="Q341" s="11"/>
      <c r="R341" s="11"/>
      <c r="S341" s="11"/>
      <c r="T341" s="11"/>
      <c r="U341" s="15">
        <f t="shared" si="61"/>
        <v>0</v>
      </c>
      <c r="V341" s="15"/>
      <c r="W341" s="15">
        <f t="shared" si="62"/>
        <v>0</v>
      </c>
      <c r="X341" s="15"/>
      <c r="Y341" s="15"/>
      <c r="Z341" s="15"/>
      <c r="AA341" s="17">
        <f t="shared" si="63"/>
        <v>0</v>
      </c>
      <c r="AB341" s="17"/>
    </row>
    <row r="342" spans="2:28">
      <c r="B342" s="189" t="str">
        <f t="shared" si="57"/>
        <v/>
      </c>
      <c r="C342" s="112" t="str">
        <f t="shared" si="58"/>
        <v/>
      </c>
      <c r="D342" s="7"/>
      <c r="E342" s="8"/>
      <c r="F342" s="8"/>
      <c r="G342" s="113" t="str">
        <f t="shared" si="59"/>
        <v/>
      </c>
      <c r="H342" s="113" t="str">
        <f t="shared" si="60"/>
        <v/>
      </c>
      <c r="I342" s="117"/>
      <c r="J342" s="9"/>
      <c r="K342" s="10"/>
      <c r="L342" s="11" t="str">
        <f t="shared" si="56"/>
        <v/>
      </c>
      <c r="M342" s="11"/>
      <c r="N342" s="11"/>
      <c r="O342" s="11"/>
      <c r="P342" s="11"/>
      <c r="Q342" s="11"/>
      <c r="R342" s="11"/>
      <c r="S342" s="11"/>
      <c r="T342" s="11"/>
      <c r="U342" s="15">
        <f t="shared" si="61"/>
        <v>0</v>
      </c>
      <c r="V342" s="15"/>
      <c r="W342" s="15">
        <f t="shared" si="62"/>
        <v>0</v>
      </c>
      <c r="X342" s="15"/>
      <c r="Y342" s="15"/>
      <c r="Z342" s="15"/>
      <c r="AA342" s="17">
        <f t="shared" si="63"/>
        <v>0</v>
      </c>
      <c r="AB342" s="17"/>
    </row>
    <row r="343" spans="2:28">
      <c r="B343" s="189" t="str">
        <f t="shared" si="57"/>
        <v/>
      </c>
      <c r="C343" s="112" t="str">
        <f t="shared" si="58"/>
        <v/>
      </c>
      <c r="D343" s="7"/>
      <c r="E343" s="8"/>
      <c r="F343" s="8"/>
      <c r="G343" s="113" t="str">
        <f t="shared" si="59"/>
        <v/>
      </c>
      <c r="H343" s="113" t="str">
        <f t="shared" si="60"/>
        <v/>
      </c>
      <c r="I343" s="117"/>
      <c r="J343" s="9"/>
      <c r="K343" s="10"/>
      <c r="L343" s="11" t="str">
        <f t="shared" si="56"/>
        <v/>
      </c>
      <c r="M343" s="11"/>
      <c r="N343" s="11"/>
      <c r="O343" s="11"/>
      <c r="P343" s="11"/>
      <c r="Q343" s="11"/>
      <c r="R343" s="11"/>
      <c r="S343" s="11"/>
      <c r="T343" s="11"/>
      <c r="U343" s="15">
        <f t="shared" si="61"/>
        <v>0</v>
      </c>
      <c r="V343" s="15"/>
      <c r="W343" s="15">
        <f t="shared" si="62"/>
        <v>0</v>
      </c>
      <c r="X343" s="15"/>
      <c r="Y343" s="15"/>
      <c r="Z343" s="15"/>
      <c r="AA343" s="17">
        <f t="shared" si="63"/>
        <v>0</v>
      </c>
      <c r="AB343" s="17"/>
    </row>
    <row r="344" spans="2:28">
      <c r="B344" s="189" t="str">
        <f t="shared" si="57"/>
        <v/>
      </c>
      <c r="C344" s="112" t="str">
        <f t="shared" si="58"/>
        <v/>
      </c>
      <c r="D344" s="7"/>
      <c r="E344" s="8"/>
      <c r="F344" s="8"/>
      <c r="G344" s="113" t="str">
        <f t="shared" si="59"/>
        <v/>
      </c>
      <c r="H344" s="113" t="str">
        <f t="shared" si="60"/>
        <v/>
      </c>
      <c r="I344" s="117"/>
      <c r="J344" s="9"/>
      <c r="K344" s="10"/>
      <c r="L344" s="11" t="str">
        <f t="shared" si="56"/>
        <v/>
      </c>
      <c r="M344" s="11"/>
      <c r="N344" s="11"/>
      <c r="O344" s="11"/>
      <c r="P344" s="11"/>
      <c r="Q344" s="11"/>
      <c r="R344" s="11"/>
      <c r="S344" s="11"/>
      <c r="T344" s="11"/>
      <c r="U344" s="15">
        <f t="shared" si="61"/>
        <v>0</v>
      </c>
      <c r="V344" s="15"/>
      <c r="W344" s="15">
        <f t="shared" si="62"/>
        <v>0</v>
      </c>
      <c r="X344" s="15"/>
      <c r="Y344" s="15"/>
      <c r="Z344" s="15"/>
      <c r="AA344" s="17">
        <f t="shared" si="63"/>
        <v>0</v>
      </c>
      <c r="AB344" s="17"/>
    </row>
    <row r="345" spans="2:28">
      <c r="B345" s="189" t="str">
        <f t="shared" si="57"/>
        <v/>
      </c>
      <c r="C345" s="112" t="str">
        <f t="shared" si="58"/>
        <v/>
      </c>
      <c r="D345" s="7"/>
      <c r="E345" s="8"/>
      <c r="F345" s="8"/>
      <c r="G345" s="113" t="str">
        <f t="shared" si="59"/>
        <v/>
      </c>
      <c r="H345" s="113" t="str">
        <f t="shared" si="60"/>
        <v/>
      </c>
      <c r="I345" s="117"/>
      <c r="J345" s="9"/>
      <c r="K345" s="10"/>
      <c r="L345" s="11" t="str">
        <f t="shared" si="56"/>
        <v/>
      </c>
      <c r="M345" s="11"/>
      <c r="N345" s="11"/>
      <c r="O345" s="11"/>
      <c r="P345" s="11"/>
      <c r="Q345" s="11"/>
      <c r="R345" s="11"/>
      <c r="S345" s="11"/>
      <c r="T345" s="11"/>
      <c r="U345" s="15">
        <f t="shared" si="61"/>
        <v>0</v>
      </c>
      <c r="V345" s="15"/>
      <c r="W345" s="15">
        <f t="shared" si="62"/>
        <v>0</v>
      </c>
      <c r="X345" s="15"/>
      <c r="Y345" s="15"/>
      <c r="Z345" s="15"/>
      <c r="AA345" s="17">
        <f t="shared" si="63"/>
        <v>0</v>
      </c>
      <c r="AB345" s="17"/>
    </row>
    <row r="346" spans="2:28">
      <c r="B346" s="189" t="str">
        <f t="shared" si="57"/>
        <v/>
      </c>
      <c r="C346" s="112" t="str">
        <f t="shared" si="58"/>
        <v/>
      </c>
      <c r="D346" s="7"/>
      <c r="E346" s="8"/>
      <c r="F346" s="8"/>
      <c r="G346" s="113" t="str">
        <f t="shared" si="59"/>
        <v/>
      </c>
      <c r="H346" s="113" t="str">
        <f t="shared" si="60"/>
        <v/>
      </c>
      <c r="I346" s="117"/>
      <c r="J346" s="9"/>
      <c r="K346" s="10"/>
      <c r="L346" s="11" t="str">
        <f t="shared" si="56"/>
        <v/>
      </c>
      <c r="M346" s="11"/>
      <c r="N346" s="11"/>
      <c r="O346" s="11"/>
      <c r="P346" s="11"/>
      <c r="Q346" s="11"/>
      <c r="R346" s="11"/>
      <c r="S346" s="11"/>
      <c r="T346" s="11"/>
      <c r="U346" s="15">
        <f t="shared" si="61"/>
        <v>0</v>
      </c>
      <c r="V346" s="15"/>
      <c r="W346" s="15">
        <f t="shared" si="62"/>
        <v>0</v>
      </c>
      <c r="X346" s="15"/>
      <c r="Y346" s="15"/>
      <c r="Z346" s="15"/>
      <c r="AA346" s="17">
        <f t="shared" si="63"/>
        <v>0</v>
      </c>
      <c r="AB346" s="17"/>
    </row>
    <row r="347" spans="2:28">
      <c r="B347" s="189" t="str">
        <f t="shared" si="57"/>
        <v/>
      </c>
      <c r="C347" s="112" t="str">
        <f t="shared" si="58"/>
        <v/>
      </c>
      <c r="D347" s="7"/>
      <c r="E347" s="8"/>
      <c r="F347" s="8"/>
      <c r="G347" s="113" t="str">
        <f t="shared" si="59"/>
        <v/>
      </c>
      <c r="H347" s="113" t="str">
        <f t="shared" si="60"/>
        <v/>
      </c>
      <c r="I347" s="117"/>
      <c r="J347" s="9"/>
      <c r="K347" s="10"/>
      <c r="L347" s="11" t="str">
        <f t="shared" si="56"/>
        <v/>
      </c>
      <c r="M347" s="11"/>
      <c r="N347" s="11"/>
      <c r="O347" s="11"/>
      <c r="P347" s="11"/>
      <c r="Q347" s="11"/>
      <c r="R347" s="11"/>
      <c r="S347" s="11"/>
      <c r="T347" s="11"/>
      <c r="U347" s="15">
        <f t="shared" si="61"/>
        <v>0</v>
      </c>
      <c r="V347" s="15"/>
      <c r="W347" s="15">
        <f t="shared" si="62"/>
        <v>0</v>
      </c>
      <c r="X347" s="15"/>
      <c r="Y347" s="15"/>
      <c r="Z347" s="15"/>
      <c r="AA347" s="17">
        <f t="shared" si="63"/>
        <v>0</v>
      </c>
      <c r="AB347" s="17"/>
    </row>
    <row r="348" spans="2:28">
      <c r="B348" s="189" t="str">
        <f t="shared" si="57"/>
        <v/>
      </c>
      <c r="C348" s="112" t="str">
        <f t="shared" si="58"/>
        <v/>
      </c>
      <c r="D348" s="7"/>
      <c r="E348" s="8"/>
      <c r="F348" s="8"/>
      <c r="G348" s="113" t="str">
        <f t="shared" si="59"/>
        <v/>
      </c>
      <c r="H348" s="113" t="str">
        <f t="shared" si="60"/>
        <v/>
      </c>
      <c r="I348" s="117"/>
      <c r="J348" s="9"/>
      <c r="K348" s="10"/>
      <c r="L348" s="11" t="str">
        <f t="shared" si="56"/>
        <v/>
      </c>
      <c r="M348" s="11"/>
      <c r="N348" s="11"/>
      <c r="O348" s="11"/>
      <c r="P348" s="11"/>
      <c r="Q348" s="11"/>
      <c r="R348" s="11"/>
      <c r="S348" s="11"/>
      <c r="T348" s="11"/>
      <c r="U348" s="15">
        <f t="shared" si="61"/>
        <v>0</v>
      </c>
      <c r="V348" s="15"/>
      <c r="W348" s="15">
        <f t="shared" si="62"/>
        <v>0</v>
      </c>
      <c r="X348" s="15"/>
      <c r="Y348" s="15"/>
      <c r="Z348" s="15"/>
      <c r="AA348" s="17">
        <f t="shared" si="63"/>
        <v>0</v>
      </c>
      <c r="AB348" s="17"/>
    </row>
    <row r="349" spans="2:28">
      <c r="B349" s="189" t="str">
        <f t="shared" si="57"/>
        <v/>
      </c>
      <c r="C349" s="112" t="str">
        <f t="shared" si="58"/>
        <v/>
      </c>
      <c r="D349" s="7"/>
      <c r="E349" s="8"/>
      <c r="F349" s="8"/>
      <c r="G349" s="113" t="str">
        <f t="shared" si="59"/>
        <v/>
      </c>
      <c r="H349" s="113" t="str">
        <f t="shared" si="60"/>
        <v/>
      </c>
      <c r="I349" s="117"/>
      <c r="J349" s="9"/>
      <c r="K349" s="10"/>
      <c r="L349" s="11" t="str">
        <f t="shared" si="56"/>
        <v/>
      </c>
      <c r="M349" s="11"/>
      <c r="N349" s="11"/>
      <c r="O349" s="11"/>
      <c r="P349" s="11"/>
      <c r="Q349" s="11"/>
      <c r="R349" s="11"/>
      <c r="S349" s="11"/>
      <c r="T349" s="11"/>
      <c r="U349" s="15">
        <f t="shared" si="61"/>
        <v>0</v>
      </c>
      <c r="V349" s="15"/>
      <c r="W349" s="15">
        <f t="shared" si="62"/>
        <v>0</v>
      </c>
      <c r="X349" s="15"/>
      <c r="Y349" s="15"/>
      <c r="Z349" s="15"/>
      <c r="AA349" s="17">
        <f t="shared" si="63"/>
        <v>0</v>
      </c>
      <c r="AB349" s="17"/>
    </row>
    <row r="350" spans="2:28">
      <c r="B350" s="189" t="str">
        <f t="shared" si="57"/>
        <v/>
      </c>
      <c r="C350" s="112" t="str">
        <f t="shared" si="58"/>
        <v/>
      </c>
      <c r="D350" s="7"/>
      <c r="E350" s="8"/>
      <c r="F350" s="8"/>
      <c r="G350" s="113" t="str">
        <f t="shared" si="59"/>
        <v/>
      </c>
      <c r="H350" s="113" t="str">
        <f t="shared" si="60"/>
        <v/>
      </c>
      <c r="I350" s="117"/>
      <c r="J350" s="9"/>
      <c r="K350" s="10"/>
      <c r="L350" s="11" t="str">
        <f t="shared" si="56"/>
        <v/>
      </c>
      <c r="M350" s="11"/>
      <c r="N350" s="11"/>
      <c r="O350" s="11"/>
      <c r="P350" s="11"/>
      <c r="Q350" s="11"/>
      <c r="R350" s="11"/>
      <c r="S350" s="11"/>
      <c r="T350" s="11"/>
      <c r="U350" s="15">
        <f t="shared" si="61"/>
        <v>0</v>
      </c>
      <c r="V350" s="15"/>
      <c r="W350" s="15">
        <f t="shared" si="62"/>
        <v>0</v>
      </c>
      <c r="X350" s="15"/>
      <c r="Y350" s="15"/>
      <c r="Z350" s="15"/>
      <c r="AA350" s="17">
        <f t="shared" si="63"/>
        <v>0</v>
      </c>
      <c r="AB350" s="17"/>
    </row>
    <row r="351" spans="2:28">
      <c r="B351" s="189" t="str">
        <f t="shared" si="57"/>
        <v/>
      </c>
      <c r="C351" s="112" t="str">
        <f t="shared" si="58"/>
        <v/>
      </c>
      <c r="D351" s="7"/>
      <c r="E351" s="8"/>
      <c r="F351" s="8"/>
      <c r="G351" s="113" t="str">
        <f t="shared" si="59"/>
        <v/>
      </c>
      <c r="H351" s="113" t="str">
        <f t="shared" si="60"/>
        <v/>
      </c>
      <c r="I351" s="117"/>
      <c r="J351" s="9"/>
      <c r="K351" s="10"/>
      <c r="L351" s="11" t="str">
        <f t="shared" si="56"/>
        <v/>
      </c>
      <c r="M351" s="11"/>
      <c r="N351" s="11"/>
      <c r="O351" s="11"/>
      <c r="P351" s="11"/>
      <c r="Q351" s="11"/>
      <c r="R351" s="11"/>
      <c r="S351" s="11"/>
      <c r="T351" s="11"/>
      <c r="U351" s="15">
        <f t="shared" si="61"/>
        <v>0</v>
      </c>
      <c r="V351" s="15"/>
      <c r="W351" s="15">
        <f t="shared" si="62"/>
        <v>0</v>
      </c>
      <c r="X351" s="15"/>
      <c r="Y351" s="15"/>
      <c r="Z351" s="15"/>
      <c r="AA351" s="17">
        <f t="shared" si="63"/>
        <v>0</v>
      </c>
      <c r="AB351" s="17"/>
    </row>
    <row r="352" spans="2:28">
      <c r="B352" s="189" t="str">
        <f t="shared" si="57"/>
        <v/>
      </c>
      <c r="C352" s="112" t="str">
        <f t="shared" si="58"/>
        <v/>
      </c>
      <c r="D352" s="7"/>
      <c r="E352" s="8"/>
      <c r="F352" s="8"/>
      <c r="G352" s="113" t="str">
        <f t="shared" si="59"/>
        <v/>
      </c>
      <c r="H352" s="113" t="str">
        <f t="shared" si="60"/>
        <v/>
      </c>
      <c r="I352" s="117"/>
      <c r="J352" s="9"/>
      <c r="K352" s="10"/>
      <c r="L352" s="11" t="str">
        <f t="shared" si="56"/>
        <v/>
      </c>
      <c r="M352" s="11"/>
      <c r="N352" s="11"/>
      <c r="O352" s="11"/>
      <c r="P352" s="11"/>
      <c r="Q352" s="11"/>
      <c r="R352" s="11"/>
      <c r="S352" s="11"/>
      <c r="T352" s="11"/>
      <c r="U352" s="15">
        <f t="shared" si="61"/>
        <v>0</v>
      </c>
      <c r="V352" s="15"/>
      <c r="W352" s="15">
        <f t="shared" si="62"/>
        <v>0</v>
      </c>
      <c r="X352" s="15"/>
      <c r="Y352" s="15"/>
      <c r="Z352" s="15"/>
      <c r="AA352" s="17">
        <f t="shared" si="63"/>
        <v>0</v>
      </c>
      <c r="AB352" s="17"/>
    </row>
    <row r="353" spans="2:28">
      <c r="B353" s="189" t="str">
        <f t="shared" si="57"/>
        <v/>
      </c>
      <c r="C353" s="112" t="str">
        <f t="shared" si="58"/>
        <v/>
      </c>
      <c r="D353" s="7"/>
      <c r="E353" s="8"/>
      <c r="F353" s="8"/>
      <c r="G353" s="113" t="str">
        <f t="shared" si="59"/>
        <v/>
      </c>
      <c r="H353" s="113" t="str">
        <f t="shared" si="60"/>
        <v/>
      </c>
      <c r="I353" s="117"/>
      <c r="J353" s="9"/>
      <c r="K353" s="10"/>
      <c r="L353" s="11" t="str">
        <f t="shared" si="56"/>
        <v/>
      </c>
      <c r="M353" s="11"/>
      <c r="N353" s="11"/>
      <c r="O353" s="11"/>
      <c r="P353" s="11"/>
      <c r="Q353" s="11"/>
      <c r="R353" s="11"/>
      <c r="S353" s="11"/>
      <c r="T353" s="11"/>
      <c r="U353" s="15">
        <f t="shared" si="61"/>
        <v>0</v>
      </c>
      <c r="V353" s="15"/>
      <c r="W353" s="15">
        <f t="shared" si="62"/>
        <v>0</v>
      </c>
      <c r="X353" s="15"/>
      <c r="Y353" s="15"/>
      <c r="Z353" s="15"/>
      <c r="AA353" s="17">
        <f t="shared" si="63"/>
        <v>0</v>
      </c>
      <c r="AB353" s="17"/>
    </row>
    <row r="354" spans="2:28">
      <c r="B354" s="189" t="str">
        <f t="shared" si="57"/>
        <v/>
      </c>
      <c r="C354" s="112" t="str">
        <f t="shared" si="58"/>
        <v/>
      </c>
      <c r="D354" s="7"/>
      <c r="E354" s="8"/>
      <c r="F354" s="8"/>
      <c r="G354" s="113" t="str">
        <f t="shared" si="59"/>
        <v/>
      </c>
      <c r="H354" s="113" t="str">
        <f t="shared" si="60"/>
        <v/>
      </c>
      <c r="I354" s="117"/>
      <c r="J354" s="9"/>
      <c r="K354" s="10"/>
      <c r="L354" s="11" t="str">
        <f t="shared" si="56"/>
        <v/>
      </c>
      <c r="M354" s="11"/>
      <c r="N354" s="11"/>
      <c r="O354" s="11"/>
      <c r="P354" s="11"/>
      <c r="Q354" s="11"/>
      <c r="R354" s="11"/>
      <c r="S354" s="11"/>
      <c r="T354" s="11"/>
      <c r="U354" s="15">
        <f t="shared" si="61"/>
        <v>0</v>
      </c>
      <c r="V354" s="15"/>
      <c r="W354" s="15">
        <f t="shared" si="62"/>
        <v>0</v>
      </c>
      <c r="X354" s="15"/>
      <c r="Y354" s="15"/>
      <c r="Z354" s="15"/>
      <c r="AA354" s="17">
        <f t="shared" si="63"/>
        <v>0</v>
      </c>
      <c r="AB354" s="17"/>
    </row>
    <row r="355" spans="2:28">
      <c r="B355" s="189" t="str">
        <f t="shared" si="57"/>
        <v/>
      </c>
      <c r="C355" s="112" t="str">
        <f t="shared" si="58"/>
        <v/>
      </c>
      <c r="D355" s="7"/>
      <c r="E355" s="8"/>
      <c r="F355" s="8"/>
      <c r="G355" s="113" t="str">
        <f t="shared" si="59"/>
        <v/>
      </c>
      <c r="H355" s="113" t="str">
        <f t="shared" si="60"/>
        <v/>
      </c>
      <c r="I355" s="117"/>
      <c r="J355" s="9"/>
      <c r="K355" s="10"/>
      <c r="L355" s="11" t="str">
        <f t="shared" si="56"/>
        <v/>
      </c>
      <c r="M355" s="11"/>
      <c r="N355" s="11"/>
      <c r="O355" s="11"/>
      <c r="P355" s="11"/>
      <c r="Q355" s="11"/>
      <c r="R355" s="11"/>
      <c r="S355" s="11"/>
      <c r="T355" s="11"/>
      <c r="U355" s="15">
        <f t="shared" si="61"/>
        <v>0</v>
      </c>
      <c r="V355" s="15"/>
      <c r="W355" s="15">
        <f t="shared" si="62"/>
        <v>0</v>
      </c>
      <c r="X355" s="15"/>
      <c r="Y355" s="15"/>
      <c r="Z355" s="15"/>
      <c r="AA355" s="17">
        <f t="shared" si="63"/>
        <v>0</v>
      </c>
      <c r="AB355" s="17"/>
    </row>
    <row r="356" spans="2:28">
      <c r="B356" s="189" t="str">
        <f t="shared" si="57"/>
        <v/>
      </c>
      <c r="C356" s="112" t="str">
        <f t="shared" si="58"/>
        <v/>
      </c>
      <c r="D356" s="7"/>
      <c r="E356" s="8"/>
      <c r="F356" s="8"/>
      <c r="G356" s="113" t="str">
        <f t="shared" si="59"/>
        <v/>
      </c>
      <c r="H356" s="113" t="str">
        <f t="shared" si="60"/>
        <v/>
      </c>
      <c r="I356" s="117"/>
      <c r="J356" s="9"/>
      <c r="K356" s="10"/>
      <c r="L356" s="11" t="str">
        <f t="shared" si="56"/>
        <v/>
      </c>
      <c r="M356" s="11"/>
      <c r="N356" s="11"/>
      <c r="O356" s="11"/>
      <c r="P356" s="11"/>
      <c r="Q356" s="11"/>
      <c r="R356" s="11"/>
      <c r="S356" s="11"/>
      <c r="T356" s="11"/>
      <c r="U356" s="15">
        <f t="shared" si="61"/>
        <v>0</v>
      </c>
      <c r="V356" s="15"/>
      <c r="W356" s="15">
        <f t="shared" si="62"/>
        <v>0</v>
      </c>
      <c r="X356" s="15"/>
      <c r="Y356" s="15"/>
      <c r="Z356" s="15"/>
      <c r="AA356" s="17">
        <f t="shared" si="63"/>
        <v>0</v>
      </c>
      <c r="AB356" s="17"/>
    </row>
    <row r="357" spans="2:28">
      <c r="B357" s="189" t="str">
        <f t="shared" si="57"/>
        <v/>
      </c>
      <c r="C357" s="112" t="str">
        <f t="shared" si="58"/>
        <v/>
      </c>
      <c r="D357" s="7"/>
      <c r="E357" s="8"/>
      <c r="F357" s="8"/>
      <c r="G357" s="113" t="str">
        <f t="shared" si="59"/>
        <v/>
      </c>
      <c r="H357" s="113" t="str">
        <f t="shared" si="60"/>
        <v/>
      </c>
      <c r="I357" s="117"/>
      <c r="J357" s="9"/>
      <c r="K357" s="10"/>
      <c r="L357" s="11" t="str">
        <f t="shared" si="56"/>
        <v/>
      </c>
      <c r="M357" s="11"/>
      <c r="N357" s="11"/>
      <c r="O357" s="11"/>
      <c r="P357" s="11"/>
      <c r="Q357" s="11"/>
      <c r="R357" s="11"/>
      <c r="S357" s="11"/>
      <c r="T357" s="11"/>
      <c r="U357" s="15">
        <f t="shared" si="61"/>
        <v>0</v>
      </c>
      <c r="V357" s="15"/>
      <c r="W357" s="15">
        <f t="shared" si="62"/>
        <v>0</v>
      </c>
      <c r="X357" s="15"/>
      <c r="Y357" s="15"/>
      <c r="Z357" s="15"/>
      <c r="AA357" s="17">
        <f t="shared" si="63"/>
        <v>0</v>
      </c>
      <c r="AB357" s="17"/>
    </row>
    <row r="358" spans="2:28">
      <c r="B358" s="189" t="str">
        <f t="shared" si="57"/>
        <v/>
      </c>
      <c r="C358" s="112" t="str">
        <f t="shared" si="58"/>
        <v/>
      </c>
      <c r="D358" s="7"/>
      <c r="E358" s="8"/>
      <c r="F358" s="8"/>
      <c r="G358" s="113" t="str">
        <f t="shared" si="59"/>
        <v/>
      </c>
      <c r="H358" s="113" t="str">
        <f t="shared" si="60"/>
        <v/>
      </c>
      <c r="I358" s="117"/>
      <c r="J358" s="9"/>
      <c r="K358" s="10"/>
      <c r="L358" s="11" t="str">
        <f t="shared" si="56"/>
        <v/>
      </c>
      <c r="M358" s="11"/>
      <c r="N358" s="11"/>
      <c r="O358" s="11"/>
      <c r="P358" s="11"/>
      <c r="Q358" s="11"/>
      <c r="R358" s="11"/>
      <c r="S358" s="11"/>
      <c r="T358" s="11"/>
      <c r="U358" s="15">
        <f t="shared" si="61"/>
        <v>0</v>
      </c>
      <c r="V358" s="15"/>
      <c r="W358" s="15">
        <f t="shared" si="62"/>
        <v>0</v>
      </c>
      <c r="X358" s="15"/>
      <c r="Y358" s="15"/>
      <c r="Z358" s="15"/>
      <c r="AA358" s="17">
        <f t="shared" si="63"/>
        <v>0</v>
      </c>
      <c r="AB358" s="17"/>
    </row>
    <row r="359" spans="2:28">
      <c r="B359" s="189" t="str">
        <f t="shared" si="57"/>
        <v/>
      </c>
      <c r="C359" s="112" t="str">
        <f t="shared" si="58"/>
        <v/>
      </c>
      <c r="D359" s="7"/>
      <c r="E359" s="8"/>
      <c r="F359" s="8"/>
      <c r="G359" s="113" t="str">
        <f t="shared" si="59"/>
        <v/>
      </c>
      <c r="H359" s="113" t="str">
        <f t="shared" si="60"/>
        <v/>
      </c>
      <c r="I359" s="117"/>
      <c r="J359" s="9"/>
      <c r="K359" s="10"/>
      <c r="L359" s="11" t="str">
        <f t="shared" si="56"/>
        <v/>
      </c>
      <c r="M359" s="11"/>
      <c r="N359" s="11"/>
      <c r="O359" s="11"/>
      <c r="P359" s="11"/>
      <c r="Q359" s="11"/>
      <c r="R359" s="11"/>
      <c r="S359" s="11"/>
      <c r="T359" s="11"/>
      <c r="U359" s="15">
        <f t="shared" si="61"/>
        <v>0</v>
      </c>
      <c r="V359" s="15"/>
      <c r="W359" s="15">
        <f t="shared" si="62"/>
        <v>0</v>
      </c>
      <c r="X359" s="15"/>
      <c r="Y359" s="15"/>
      <c r="Z359" s="15"/>
      <c r="AA359" s="17">
        <f t="shared" si="63"/>
        <v>0</v>
      </c>
      <c r="AB359" s="17"/>
    </row>
    <row r="360" spans="2:28">
      <c r="B360" s="189" t="str">
        <f t="shared" si="57"/>
        <v/>
      </c>
      <c r="C360" s="112" t="str">
        <f t="shared" si="58"/>
        <v/>
      </c>
      <c r="D360" s="7"/>
      <c r="E360" s="8"/>
      <c r="F360" s="8"/>
      <c r="G360" s="113" t="str">
        <f t="shared" si="59"/>
        <v/>
      </c>
      <c r="H360" s="113" t="str">
        <f t="shared" si="60"/>
        <v/>
      </c>
      <c r="I360" s="117"/>
      <c r="J360" s="9"/>
      <c r="K360" s="10"/>
      <c r="L360" s="11" t="str">
        <f t="shared" si="56"/>
        <v/>
      </c>
      <c r="M360" s="11"/>
      <c r="N360" s="11"/>
      <c r="O360" s="11"/>
      <c r="P360" s="11"/>
      <c r="Q360" s="11"/>
      <c r="R360" s="11"/>
      <c r="S360" s="11"/>
      <c r="T360" s="11"/>
      <c r="U360" s="15">
        <f t="shared" si="61"/>
        <v>0</v>
      </c>
      <c r="V360" s="15"/>
      <c r="W360" s="15">
        <f t="shared" si="62"/>
        <v>0</v>
      </c>
      <c r="X360" s="15"/>
      <c r="Y360" s="15"/>
      <c r="Z360" s="15"/>
      <c r="AA360" s="17">
        <f t="shared" si="63"/>
        <v>0</v>
      </c>
      <c r="AB360" s="17"/>
    </row>
    <row r="361" spans="2:28">
      <c r="B361" s="189" t="str">
        <f t="shared" si="57"/>
        <v/>
      </c>
      <c r="C361" s="112" t="str">
        <f t="shared" si="58"/>
        <v/>
      </c>
      <c r="D361" s="7"/>
      <c r="E361" s="8"/>
      <c r="F361" s="8"/>
      <c r="G361" s="113" t="str">
        <f t="shared" si="59"/>
        <v/>
      </c>
      <c r="H361" s="113" t="str">
        <f t="shared" si="60"/>
        <v/>
      </c>
      <c r="I361" s="117"/>
      <c r="J361" s="9"/>
      <c r="K361" s="10"/>
      <c r="L361" s="11" t="str">
        <f t="shared" si="56"/>
        <v/>
      </c>
      <c r="M361" s="11"/>
      <c r="N361" s="11"/>
      <c r="O361" s="11"/>
      <c r="P361" s="11"/>
      <c r="Q361" s="11"/>
      <c r="R361" s="11"/>
      <c r="S361" s="11"/>
      <c r="T361" s="11"/>
      <c r="U361" s="15">
        <f t="shared" si="61"/>
        <v>0</v>
      </c>
      <c r="V361" s="15"/>
      <c r="W361" s="15">
        <f t="shared" si="62"/>
        <v>0</v>
      </c>
      <c r="X361" s="15"/>
      <c r="Y361" s="15"/>
      <c r="Z361" s="15"/>
      <c r="AA361" s="17">
        <f t="shared" si="63"/>
        <v>0</v>
      </c>
      <c r="AB361" s="17"/>
    </row>
    <row r="362" spans="2:28">
      <c r="B362" s="189" t="str">
        <f t="shared" si="57"/>
        <v/>
      </c>
      <c r="C362" s="112" t="str">
        <f t="shared" si="58"/>
        <v/>
      </c>
      <c r="D362" s="7"/>
      <c r="E362" s="8"/>
      <c r="F362" s="8"/>
      <c r="G362" s="113" t="str">
        <f t="shared" si="59"/>
        <v/>
      </c>
      <c r="H362" s="113" t="str">
        <f t="shared" si="60"/>
        <v/>
      </c>
      <c r="I362" s="117"/>
      <c r="J362" s="9"/>
      <c r="K362" s="10"/>
      <c r="L362" s="11" t="str">
        <f t="shared" si="56"/>
        <v/>
      </c>
      <c r="M362" s="11"/>
      <c r="N362" s="11"/>
      <c r="O362" s="11"/>
      <c r="P362" s="11"/>
      <c r="Q362" s="11"/>
      <c r="R362" s="11"/>
      <c r="S362" s="11"/>
      <c r="T362" s="11"/>
      <c r="U362" s="15">
        <f t="shared" si="61"/>
        <v>0</v>
      </c>
      <c r="V362" s="15"/>
      <c r="W362" s="15">
        <f t="shared" si="62"/>
        <v>0</v>
      </c>
      <c r="X362" s="15"/>
      <c r="Y362" s="15"/>
      <c r="Z362" s="15"/>
      <c r="AA362" s="17">
        <f t="shared" si="63"/>
        <v>0</v>
      </c>
      <c r="AB362" s="17"/>
    </row>
    <row r="363" spans="2:28">
      <c r="D363" s="7"/>
      <c r="E363" s="8"/>
      <c r="F363" s="8"/>
      <c r="I363" s="117"/>
      <c r="J363" s="9"/>
      <c r="K363" s="10"/>
      <c r="M363" s="11"/>
      <c r="N363" s="11"/>
      <c r="O363" s="11"/>
      <c r="P363" s="11"/>
      <c r="Q363" s="11"/>
      <c r="R363" s="11"/>
      <c r="S363" s="11"/>
      <c r="T363" s="11"/>
      <c r="V363" s="15"/>
      <c r="X363" s="15"/>
      <c r="Y363" s="15"/>
      <c r="Z363" s="15"/>
      <c r="AB363" s="17"/>
    </row>
  </sheetData>
  <autoFilter ref="A1:AB362" xr:uid="{00000000-0009-0000-0000-000000000000}"/>
  <phoneticPr fontId="3" type="noConversion"/>
  <conditionalFormatting sqref="I1 I37:I38 I19:I20 I51:I52 I54:I64 I43:I49 I66:I67 I22:I29 I93:I121 I123 I127:I128 I130:I135 I70:I90 I138:I1048576">
    <cfRule type="cellIs" dxfId="134" priority="2258" operator="equal">
      <formula>"폐기"</formula>
    </cfRule>
    <cfRule type="cellIs" dxfId="133" priority="2259" operator="equal">
      <formula>"외주수리불가"</formula>
    </cfRule>
    <cfRule type="cellIs" dxfId="132" priority="2260" operator="equal">
      <formula>"외주수리중"</formula>
    </cfRule>
    <cfRule type="cellIs" dxfId="131" priority="2261" operator="equal">
      <formula>"수리중"</formula>
    </cfRule>
    <cfRule type="cellIs" dxfId="130" priority="2262" operator="equal">
      <formula>"수리불가"</formula>
    </cfRule>
  </conditionalFormatting>
  <conditionalFormatting sqref="I2:I8 I32:I36 I10:I15">
    <cfRule type="cellIs" dxfId="129" priority="201" operator="equal">
      <formula>"폐기"</formula>
    </cfRule>
    <cfRule type="cellIs" dxfId="128" priority="202" operator="equal">
      <formula>"외주수리불가"</formula>
    </cfRule>
    <cfRule type="cellIs" dxfId="127" priority="203" operator="equal">
      <formula>"외주수리중"</formula>
    </cfRule>
    <cfRule type="cellIs" dxfId="126" priority="204" operator="equal">
      <formula>"수리중"</formula>
    </cfRule>
    <cfRule type="cellIs" dxfId="125" priority="205" operator="equal">
      <formula>"수리불가"</formula>
    </cfRule>
  </conditionalFormatting>
  <conditionalFormatting sqref="I16">
    <cfRule type="cellIs" dxfId="124" priority="196" operator="equal">
      <formula>"폐기"</formula>
    </cfRule>
    <cfRule type="cellIs" dxfId="123" priority="197" operator="equal">
      <formula>"외주수리불가"</formula>
    </cfRule>
    <cfRule type="cellIs" dxfId="122" priority="198" operator="equal">
      <formula>"외주수리중"</formula>
    </cfRule>
    <cfRule type="cellIs" dxfId="121" priority="199" operator="equal">
      <formula>"수리중"</formula>
    </cfRule>
    <cfRule type="cellIs" dxfId="120" priority="200" operator="equal">
      <formula>"수리불가"</formula>
    </cfRule>
  </conditionalFormatting>
  <conditionalFormatting sqref="I17">
    <cfRule type="cellIs" dxfId="119" priority="191" operator="equal">
      <formula>"폐기"</formula>
    </cfRule>
    <cfRule type="cellIs" dxfId="118" priority="192" operator="equal">
      <formula>"외주수리불가"</formula>
    </cfRule>
    <cfRule type="cellIs" dxfId="117" priority="193" operator="equal">
      <formula>"외주수리중"</formula>
    </cfRule>
    <cfRule type="cellIs" dxfId="116" priority="194" operator="equal">
      <formula>"수리중"</formula>
    </cfRule>
    <cfRule type="cellIs" dxfId="115" priority="195" operator="equal">
      <formula>"수리불가"</formula>
    </cfRule>
  </conditionalFormatting>
  <conditionalFormatting sqref="I21">
    <cfRule type="cellIs" dxfId="114" priority="186" operator="equal">
      <formula>"폐기"</formula>
    </cfRule>
    <cfRule type="cellIs" dxfId="113" priority="187" operator="equal">
      <formula>"외주수리불가"</formula>
    </cfRule>
    <cfRule type="cellIs" dxfId="112" priority="188" operator="equal">
      <formula>"외주수리중"</formula>
    </cfRule>
    <cfRule type="cellIs" dxfId="111" priority="189" operator="equal">
      <formula>"수리중"</formula>
    </cfRule>
    <cfRule type="cellIs" dxfId="110" priority="190" operator="equal">
      <formula>"수리불가"</formula>
    </cfRule>
  </conditionalFormatting>
  <conditionalFormatting sqref="I39">
    <cfRule type="cellIs" dxfId="109" priority="181" operator="equal">
      <formula>"폐기"</formula>
    </cfRule>
    <cfRule type="cellIs" dxfId="108" priority="182" operator="equal">
      <formula>"외주수리불가"</formula>
    </cfRule>
    <cfRule type="cellIs" dxfId="107" priority="183" operator="equal">
      <formula>"외주수리중"</formula>
    </cfRule>
    <cfRule type="cellIs" dxfId="106" priority="184" operator="equal">
      <formula>"수리중"</formula>
    </cfRule>
    <cfRule type="cellIs" dxfId="105" priority="185" operator="equal">
      <formula>"수리불가"</formula>
    </cfRule>
  </conditionalFormatting>
  <conditionalFormatting sqref="I40">
    <cfRule type="cellIs" dxfId="104" priority="176" operator="equal">
      <formula>"폐기"</formula>
    </cfRule>
    <cfRule type="cellIs" dxfId="103" priority="177" operator="equal">
      <formula>"외주수리불가"</formula>
    </cfRule>
    <cfRule type="cellIs" dxfId="102" priority="178" operator="equal">
      <formula>"외주수리중"</formula>
    </cfRule>
    <cfRule type="cellIs" dxfId="101" priority="179" operator="equal">
      <formula>"수리중"</formula>
    </cfRule>
    <cfRule type="cellIs" dxfId="100" priority="180" operator="equal">
      <formula>"수리불가"</formula>
    </cfRule>
  </conditionalFormatting>
  <conditionalFormatting sqref="I41">
    <cfRule type="cellIs" dxfId="99" priority="146" operator="equal">
      <formula>"폐기"</formula>
    </cfRule>
    <cfRule type="cellIs" dxfId="98" priority="147" operator="equal">
      <formula>"외주수리불가"</formula>
    </cfRule>
    <cfRule type="cellIs" dxfId="97" priority="148" operator="equal">
      <formula>"외주수리중"</formula>
    </cfRule>
    <cfRule type="cellIs" dxfId="96" priority="149" operator="equal">
      <formula>"수리중"</formula>
    </cfRule>
    <cfRule type="cellIs" dxfId="95" priority="150" operator="equal">
      <formula>"수리불가"</formula>
    </cfRule>
  </conditionalFormatting>
  <conditionalFormatting sqref="I42">
    <cfRule type="cellIs" dxfId="94" priority="151" operator="equal">
      <formula>"폐기"</formula>
    </cfRule>
    <cfRule type="cellIs" dxfId="93" priority="152" operator="equal">
      <formula>"외주수리불가"</formula>
    </cfRule>
    <cfRule type="cellIs" dxfId="92" priority="153" operator="equal">
      <formula>"외주수리중"</formula>
    </cfRule>
    <cfRule type="cellIs" dxfId="91" priority="154" operator="equal">
      <formula>"수리중"</formula>
    </cfRule>
    <cfRule type="cellIs" dxfId="90" priority="155" operator="equal">
      <formula>"수리불가"</formula>
    </cfRule>
  </conditionalFormatting>
  <conditionalFormatting sqref="I42">
    <cfRule type="cellIs" dxfId="89" priority="156" operator="equal">
      <formula>"폐기"</formula>
    </cfRule>
    <cfRule type="cellIs" dxfId="88" priority="157" operator="equal">
      <formula>"외주수리불가"</formula>
    </cfRule>
    <cfRule type="cellIs" dxfId="87" priority="158" operator="equal">
      <formula>"외주수리중"</formula>
    </cfRule>
    <cfRule type="cellIs" dxfId="86" priority="159" operator="equal">
      <formula>"수리중"</formula>
    </cfRule>
    <cfRule type="cellIs" dxfId="85" priority="160" operator="equal">
      <formula>"수리불가"</formula>
    </cfRule>
  </conditionalFormatting>
  <conditionalFormatting sqref="I50">
    <cfRule type="cellIs" dxfId="84" priority="136" operator="equal">
      <formula>"폐기"</formula>
    </cfRule>
    <cfRule type="cellIs" dxfId="83" priority="137" operator="equal">
      <formula>"외주수리불가"</formula>
    </cfRule>
    <cfRule type="cellIs" dxfId="82" priority="138" operator="equal">
      <formula>"외주수리중"</formula>
    </cfRule>
    <cfRule type="cellIs" dxfId="81" priority="139" operator="equal">
      <formula>"수리중"</formula>
    </cfRule>
    <cfRule type="cellIs" dxfId="80" priority="140" operator="equal">
      <formula>"수리불가"</formula>
    </cfRule>
  </conditionalFormatting>
  <conditionalFormatting sqref="I65">
    <cfRule type="cellIs" dxfId="79" priority="126" operator="equal">
      <formula>"폐기"</formula>
    </cfRule>
    <cfRule type="cellIs" dxfId="78" priority="127" operator="equal">
      <formula>"외주수리불가"</formula>
    </cfRule>
    <cfRule type="cellIs" dxfId="77" priority="128" operator="equal">
      <formula>"외주수리중"</formula>
    </cfRule>
    <cfRule type="cellIs" dxfId="76" priority="129" operator="equal">
      <formula>"수리중"</formula>
    </cfRule>
    <cfRule type="cellIs" dxfId="75" priority="130" operator="equal">
      <formula>"수리불가"</formula>
    </cfRule>
  </conditionalFormatting>
  <conditionalFormatting sqref="I68">
    <cfRule type="cellIs" dxfId="74" priority="121" operator="equal">
      <formula>"폐기"</formula>
    </cfRule>
    <cfRule type="cellIs" dxfId="73" priority="122" operator="equal">
      <formula>"외주수리불가"</formula>
    </cfRule>
    <cfRule type="cellIs" dxfId="72" priority="123" operator="equal">
      <formula>"외주수리중"</formula>
    </cfRule>
    <cfRule type="cellIs" dxfId="71" priority="124" operator="equal">
      <formula>"수리중"</formula>
    </cfRule>
    <cfRule type="cellIs" dxfId="70" priority="125" operator="equal">
      <formula>"수리불가"</formula>
    </cfRule>
  </conditionalFormatting>
  <conditionalFormatting sqref="I69">
    <cfRule type="cellIs" dxfId="69" priority="116" operator="equal">
      <formula>"폐기"</formula>
    </cfRule>
    <cfRule type="cellIs" dxfId="68" priority="117" operator="equal">
      <formula>"외주수리불가"</formula>
    </cfRule>
    <cfRule type="cellIs" dxfId="67" priority="118" operator="equal">
      <formula>"외주수리중"</formula>
    </cfRule>
    <cfRule type="cellIs" dxfId="66" priority="119" operator="equal">
      <formula>"수리중"</formula>
    </cfRule>
    <cfRule type="cellIs" dxfId="65" priority="120" operator="equal">
      <formula>"수리불가"</formula>
    </cfRule>
  </conditionalFormatting>
  <conditionalFormatting sqref="I53">
    <cfRule type="cellIs" dxfId="64" priority="111" operator="equal">
      <formula>"폐기"</formula>
    </cfRule>
    <cfRule type="cellIs" dxfId="63" priority="112" operator="equal">
      <formula>"외주수리불가"</formula>
    </cfRule>
    <cfRule type="cellIs" dxfId="62" priority="113" operator="equal">
      <formula>"외주수리중"</formula>
    </cfRule>
    <cfRule type="cellIs" dxfId="61" priority="114" operator="equal">
      <formula>"수리중"</formula>
    </cfRule>
    <cfRule type="cellIs" dxfId="60" priority="115" operator="equal">
      <formula>"수리불가"</formula>
    </cfRule>
  </conditionalFormatting>
  <conditionalFormatting sqref="I30">
    <cfRule type="cellIs" dxfId="59" priority="76" operator="equal">
      <formula>"폐기"</formula>
    </cfRule>
    <cfRule type="cellIs" dxfId="58" priority="77" operator="equal">
      <formula>"외주수리불가"</formula>
    </cfRule>
    <cfRule type="cellIs" dxfId="57" priority="78" operator="equal">
      <formula>"외주수리중"</formula>
    </cfRule>
    <cfRule type="cellIs" dxfId="56" priority="79" operator="equal">
      <formula>"수리중"</formula>
    </cfRule>
    <cfRule type="cellIs" dxfId="55" priority="80" operator="equal">
      <formula>"수리불가"</formula>
    </cfRule>
  </conditionalFormatting>
  <conditionalFormatting sqref="I31">
    <cfRule type="cellIs" dxfId="54" priority="71" operator="equal">
      <formula>"폐기"</formula>
    </cfRule>
    <cfRule type="cellIs" dxfId="53" priority="72" operator="equal">
      <formula>"외주수리불가"</formula>
    </cfRule>
    <cfRule type="cellIs" dxfId="52" priority="73" operator="equal">
      <formula>"외주수리중"</formula>
    </cfRule>
    <cfRule type="cellIs" dxfId="51" priority="74" operator="equal">
      <formula>"수리중"</formula>
    </cfRule>
    <cfRule type="cellIs" dxfId="50" priority="75" operator="equal">
      <formula>"수리불가"</formula>
    </cfRule>
  </conditionalFormatting>
  <conditionalFormatting sqref="I18">
    <cfRule type="cellIs" dxfId="49" priority="66" operator="equal">
      <formula>"폐기"</formula>
    </cfRule>
    <cfRule type="cellIs" dxfId="48" priority="67" operator="equal">
      <formula>"외주수리불가"</formula>
    </cfRule>
    <cfRule type="cellIs" dxfId="47" priority="68" operator="equal">
      <formula>"외주수리중"</formula>
    </cfRule>
    <cfRule type="cellIs" dxfId="46" priority="69" operator="equal">
      <formula>"수리중"</formula>
    </cfRule>
    <cfRule type="cellIs" dxfId="45" priority="70" operator="equal">
      <formula>"수리불가"</formula>
    </cfRule>
  </conditionalFormatting>
  <conditionalFormatting sqref="I9">
    <cfRule type="cellIs" dxfId="44" priority="61" operator="equal">
      <formula>"폐기"</formula>
    </cfRule>
    <cfRule type="cellIs" dxfId="43" priority="62" operator="equal">
      <formula>"외주수리불가"</formula>
    </cfRule>
    <cfRule type="cellIs" dxfId="42" priority="63" operator="equal">
      <formula>"외주수리중"</formula>
    </cfRule>
    <cfRule type="cellIs" dxfId="41" priority="64" operator="equal">
      <formula>"수리중"</formula>
    </cfRule>
    <cfRule type="cellIs" dxfId="40" priority="65" operator="equal">
      <formula>"수리불가"</formula>
    </cfRule>
  </conditionalFormatting>
  <conditionalFormatting sqref="I91:I93">
    <cfRule type="cellIs" dxfId="39" priority="51" operator="equal">
      <formula>"폐기"</formula>
    </cfRule>
    <cfRule type="cellIs" dxfId="38" priority="52" operator="equal">
      <formula>"외주수리불가"</formula>
    </cfRule>
    <cfRule type="cellIs" dxfId="37" priority="53" operator="equal">
      <formula>"외주수리중"</formula>
    </cfRule>
    <cfRule type="cellIs" dxfId="36" priority="54" operator="equal">
      <formula>"수리중"</formula>
    </cfRule>
    <cfRule type="cellIs" dxfId="35" priority="55" operator="equal">
      <formula>"수리불가"</formula>
    </cfRule>
  </conditionalFormatting>
  <conditionalFormatting sqref="I122">
    <cfRule type="cellIs" dxfId="34" priority="41" operator="equal">
      <formula>"폐기"</formula>
    </cfRule>
    <cfRule type="cellIs" dxfId="33" priority="42" operator="equal">
      <formula>"외주수리불가"</formula>
    </cfRule>
    <cfRule type="cellIs" dxfId="32" priority="43" operator="equal">
      <formula>"외주수리중"</formula>
    </cfRule>
    <cfRule type="cellIs" dxfId="31" priority="44" operator="equal">
      <formula>"수리중"</formula>
    </cfRule>
    <cfRule type="cellIs" dxfId="30" priority="45" operator="equal">
      <formula>"수리불가"</formula>
    </cfRule>
  </conditionalFormatting>
  <conditionalFormatting sqref="I125">
    <cfRule type="cellIs" dxfId="29" priority="26" operator="equal">
      <formula>"폐기"</formula>
    </cfRule>
    <cfRule type="cellIs" dxfId="28" priority="27" operator="equal">
      <formula>"외주수리불가"</formula>
    </cfRule>
    <cfRule type="cellIs" dxfId="27" priority="28" operator="equal">
      <formula>"외주수리중"</formula>
    </cfRule>
    <cfRule type="cellIs" dxfId="26" priority="29" operator="equal">
      <formula>"수리중"</formula>
    </cfRule>
    <cfRule type="cellIs" dxfId="25" priority="30" operator="equal">
      <formula>"수리불가"</formula>
    </cfRule>
  </conditionalFormatting>
  <conditionalFormatting sqref="I126">
    <cfRule type="cellIs" dxfId="24" priority="21" operator="equal">
      <formula>"폐기"</formula>
    </cfRule>
    <cfRule type="cellIs" dxfId="23" priority="22" operator="equal">
      <formula>"외주수리불가"</formula>
    </cfRule>
    <cfRule type="cellIs" dxfId="22" priority="23" operator="equal">
      <formula>"외주수리중"</formula>
    </cfRule>
    <cfRule type="cellIs" dxfId="21" priority="24" operator="equal">
      <formula>"수리중"</formula>
    </cfRule>
    <cfRule type="cellIs" dxfId="20" priority="25" operator="equal">
      <formula>"수리불가"</formula>
    </cfRule>
  </conditionalFormatting>
  <conditionalFormatting sqref="I129">
    <cfRule type="cellIs" dxfId="19" priority="16" operator="equal">
      <formula>"폐기"</formula>
    </cfRule>
    <cfRule type="cellIs" dxfId="18" priority="17" operator="equal">
      <formula>"외주수리불가"</formula>
    </cfRule>
    <cfRule type="cellIs" dxfId="17" priority="18" operator="equal">
      <formula>"외주수리중"</formula>
    </cfRule>
    <cfRule type="cellIs" dxfId="16" priority="19" operator="equal">
      <formula>"수리중"</formula>
    </cfRule>
    <cfRule type="cellIs" dxfId="15" priority="20" operator="equal">
      <formula>"수리불가"</formula>
    </cfRule>
  </conditionalFormatting>
  <conditionalFormatting sqref="I136">
    <cfRule type="cellIs" dxfId="14" priority="11" operator="equal">
      <formula>"폐기"</formula>
    </cfRule>
    <cfRule type="cellIs" dxfId="13" priority="12" operator="equal">
      <formula>"외주수리불가"</formula>
    </cfRule>
    <cfRule type="cellIs" dxfId="12" priority="13" operator="equal">
      <formula>"외주수리중"</formula>
    </cfRule>
    <cfRule type="cellIs" dxfId="11" priority="14" operator="equal">
      <formula>"수리중"</formula>
    </cfRule>
    <cfRule type="cellIs" dxfId="10" priority="15" operator="equal">
      <formula>"수리불가"</formula>
    </cfRule>
  </conditionalFormatting>
  <conditionalFormatting sqref="I137">
    <cfRule type="cellIs" dxfId="9" priority="6" operator="equal">
      <formula>"폐기"</formula>
    </cfRule>
    <cfRule type="cellIs" dxfId="8" priority="7" operator="equal">
      <formula>"외주수리불가"</formula>
    </cfRule>
    <cfRule type="cellIs" dxfId="7" priority="8" operator="equal">
      <formula>"외주수리중"</formula>
    </cfRule>
    <cfRule type="cellIs" dxfId="6" priority="9" operator="equal">
      <formula>"수리중"</formula>
    </cfRule>
    <cfRule type="cellIs" dxfId="5" priority="10" operator="equal">
      <formula>"수리불가"</formula>
    </cfRule>
  </conditionalFormatting>
  <conditionalFormatting sqref="I124">
    <cfRule type="cellIs" dxfId="4" priority="1" operator="equal">
      <formula>"폐기"</formula>
    </cfRule>
    <cfRule type="cellIs" dxfId="3" priority="2" operator="equal">
      <formula>"외주수리불가"</formula>
    </cfRule>
    <cfRule type="cellIs" dxfId="2" priority="3" operator="equal">
      <formula>"외주수리중"</formula>
    </cfRule>
    <cfRule type="cellIs" dxfId="1" priority="4" operator="equal">
      <formula>"수리중"</formula>
    </cfRule>
    <cfRule type="cellIs" dxfId="0" priority="5" operator="equal">
      <formula>"수리불가"</formula>
    </cfRule>
  </conditionalFormatting>
  <dataValidations count="11">
    <dataValidation type="list" allowBlank="1" showInputMessage="1" showErrorMessage="1" sqref="K1 K363:K1048576" xr:uid="{00000000-0002-0000-0000-000000000000}">
      <formula1>"1T1P,1T2P,1T3P,1T4P,2T1P,2T2P,2T3P,2T4P,3T1P,3T2P,3T3P,3T4P,3T5P,5T1P,5T2P,5T3P,6T1P,6T2P,6T3P,ATP,ATT,ATC,ATM,EE1,EE2,Other,QA,K5"</formula1>
    </dataValidation>
    <dataValidation type="list" allowBlank="1" showInputMessage="1" showErrorMessage="1" sqref="Y1 Y363:Y1048576" xr:uid="{00000000-0002-0000-0000-000001000000}">
      <formula1>"기타,큐텍코리아,디에이테크,삼아일렉트론,오키,세림디티에스,씨맥스,인베닉스"</formula1>
    </dataValidation>
    <dataValidation type="list" allowBlank="1" showInputMessage="1" showErrorMessage="1" sqref="Y37:Y40 Y51:Y52 Y43:Y49 Y54:Y121 Y123:Y362" xr:uid="{00000000-0002-0000-0000-000002000000}">
      <formula1>"기타,큐텍코리아,디에이테크,이엔아이,인베닉스"</formula1>
    </dataValidation>
    <dataValidation type="list" allowBlank="1" showInputMessage="1" showErrorMessage="1" sqref="Y41:Y42 Y53 Y50 Y2:Y36 Y122" xr:uid="{00000000-0002-0000-0000-000003000000}">
      <formula1>"기타,큐텍코리아,디에이테크,이엔아이,씨맥스,스미스테크,인베닉스"</formula1>
    </dataValidation>
    <dataValidation type="list" allowBlank="1" showInputMessage="1" showErrorMessage="1" sqref="K89:K93 K152 J1:J1048576" xr:uid="{00000000-0002-0000-0000-000004000000}">
      <formula1>"A,B,C,G,F,P,EE,Bump,Other,QA,K5,ATT,ATP,ATC,ATM,ICS,PM,ATJ,인사총무,시설"</formula1>
    </dataValidation>
    <dataValidation type="list" allowBlank="1" showInputMessage="1" showErrorMessage="1" sqref="K2:K88 K94:K151 K153:K362" xr:uid="{00000000-0002-0000-0000-000005000000}">
      <formula1>"1T1P,1T2P,1T3P,1T4P,2T1P,2T2P,2T3P,2T4P,3T1P,3T2P,3T3P,3T4P,3T5P,5T1P,5T2P,5T3P,6T1P,6T2P,6T3P,ATP,ATT,ATC,ATM,EE1,EE2,Other,QA,K5,Bump1,PM,ATJ,인사총무,시설"</formula1>
    </dataValidation>
    <dataValidation type="list" allowBlank="1" showInputMessage="1" showErrorMessage="1" sqref="I1:I1048576" xr:uid="{00000000-0002-0000-0000-000006000000}">
      <formula1>"수리완료,수리중,폐기,외주수리중,외주수리불가,수리불가,외주수리완료,Other"</formula1>
    </dataValidation>
    <dataValidation type="list" allowBlank="1" showInputMessage="1" showErrorMessage="1" sqref="H2:H1048576" xr:uid="{00000000-0002-0000-0000-000007000000}">
      <formula1>"수리중, 완료, 수리불가, Other"</formula1>
    </dataValidation>
    <dataValidation type="list" allowBlank="1" showInputMessage="1" showErrorMessage="1" sqref="X2:X362" xr:uid="{00000000-0002-0000-0000-000008000000}">
      <formula1>"자체,외주"</formula1>
    </dataValidation>
    <dataValidation type="list" allowBlank="1" showInputMessage="1" showErrorMessage="1" sqref="AB1:AB1048576" xr:uid="{00000000-0002-0000-0000-000009000000}">
      <formula1>"정기수,최준영,강영구,박병대,장은철,허준영,하주용"</formula1>
    </dataValidation>
    <dataValidation type="list" allowBlank="1" showInputMessage="1" showErrorMessage="1" sqref="C2:C1048576" xr:uid="{00000000-0002-0000-0000-00000A000000}">
      <formula1>"ATK, ATP, ATM, ATC, ATT, ATEP, ATJ"</formula1>
    </dataValidation>
  </dataValidation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3">
    <tabColor theme="0"/>
  </sheetPr>
  <dimension ref="B1:AB76"/>
  <sheetViews>
    <sheetView showGridLines="0" zoomScale="85" zoomScaleNormal="85" workbookViewId="0">
      <selection activeCell="O14" sqref="O14"/>
    </sheetView>
  </sheetViews>
  <sheetFormatPr defaultRowHeight="16.5"/>
  <cols>
    <col min="1" max="1" width="3.875" style="22" customWidth="1"/>
    <col min="2" max="2" width="10.625" style="22" customWidth="1"/>
    <col min="3" max="3" width="7.125" style="22" customWidth="1"/>
    <col min="4" max="4" width="10" style="22" customWidth="1"/>
    <col min="5" max="5" width="7.125" style="22" customWidth="1"/>
    <col min="6" max="6" width="8.625" style="22" customWidth="1"/>
    <col min="7" max="7" width="7.125" style="22" customWidth="1"/>
    <col min="8" max="8" width="8.625" style="22" customWidth="1"/>
    <col min="9" max="9" width="7.125" style="22" customWidth="1"/>
    <col min="10" max="10" width="8.625" style="22" customWidth="1"/>
    <col min="11" max="11" width="7.125" style="22" customWidth="1"/>
    <col min="12" max="12" width="8.625" style="22" customWidth="1"/>
    <col min="13" max="13" width="7.125" style="22" customWidth="1"/>
    <col min="14" max="14" width="8.625" style="22" customWidth="1"/>
    <col min="15" max="15" width="7.125" style="22" customWidth="1"/>
    <col min="16" max="17" width="8.625" style="22" customWidth="1"/>
    <col min="18" max="18" width="10.375" style="22" customWidth="1"/>
    <col min="19" max="19" width="3.125" style="93" customWidth="1"/>
    <col min="20" max="20" width="14.375" style="22" customWidth="1"/>
    <col min="21" max="22" width="10.75" style="22" customWidth="1"/>
    <col min="23" max="26" width="10.25" style="22" customWidth="1"/>
    <col min="27" max="16384" width="9" style="22"/>
  </cols>
  <sheetData>
    <row r="1" spans="2:26">
      <c r="B1" s="211" t="s">
        <v>136</v>
      </c>
      <c r="C1" s="212"/>
      <c r="D1" s="212"/>
      <c r="E1" s="212"/>
      <c r="F1" s="212"/>
      <c r="G1" s="212"/>
      <c r="H1" s="212"/>
      <c r="I1" s="212"/>
      <c r="J1" s="212"/>
      <c r="K1" s="212"/>
      <c r="L1" s="212"/>
      <c r="M1" s="212"/>
    </row>
    <row r="2" spans="2:26" ht="20.25">
      <c r="B2" s="212"/>
      <c r="C2" s="212"/>
      <c r="D2" s="212"/>
      <c r="E2" s="212"/>
      <c r="F2" s="212"/>
      <c r="G2" s="212"/>
      <c r="H2" s="212"/>
      <c r="I2" s="212"/>
      <c r="J2" s="212"/>
      <c r="K2" s="212"/>
      <c r="L2" s="212"/>
      <c r="M2" s="212"/>
      <c r="Q2" s="114" t="s">
        <v>108</v>
      </c>
      <c r="R2" s="115" t="s">
        <v>110</v>
      </c>
      <c r="T2" s="130" t="s">
        <v>112</v>
      </c>
      <c r="U2" s="127"/>
      <c r="V2" s="127"/>
      <c r="W2" s="127"/>
      <c r="X2" s="127"/>
      <c r="Y2" s="128" t="s">
        <v>105</v>
      </c>
      <c r="Z2" s="129">
        <f>R3</f>
        <v>1100</v>
      </c>
    </row>
    <row r="3" spans="2:26" ht="17.25" thickBot="1">
      <c r="B3" s="183" t="s">
        <v>126</v>
      </c>
      <c r="Q3" s="114" t="s">
        <v>109</v>
      </c>
      <c r="R3" s="182">
        <v>1100</v>
      </c>
      <c r="T3" s="184" t="s">
        <v>127</v>
      </c>
      <c r="U3" s="127"/>
      <c r="V3" s="127"/>
      <c r="W3" s="127"/>
      <c r="X3" s="127"/>
      <c r="Y3" s="127"/>
      <c r="Z3" s="126" t="s">
        <v>111</v>
      </c>
    </row>
    <row r="4" spans="2:26" ht="17.25" customHeight="1" thickBot="1">
      <c r="B4" s="213" t="s">
        <v>51</v>
      </c>
      <c r="C4" s="205" t="s">
        <v>52</v>
      </c>
      <c r="D4" s="206"/>
      <c r="E4" s="205" t="s">
        <v>23</v>
      </c>
      <c r="F4" s="206"/>
      <c r="G4" s="205" t="s">
        <v>22</v>
      </c>
      <c r="H4" s="206"/>
      <c r="I4" s="205" t="s">
        <v>31</v>
      </c>
      <c r="J4" s="206"/>
      <c r="K4" s="205" t="s">
        <v>27</v>
      </c>
      <c r="L4" s="206"/>
      <c r="M4" s="205" t="s">
        <v>135</v>
      </c>
      <c r="N4" s="206"/>
      <c r="O4" s="205" t="s">
        <v>104</v>
      </c>
      <c r="P4" s="206"/>
      <c r="Q4" s="207" t="s">
        <v>53</v>
      </c>
      <c r="R4" s="208"/>
      <c r="T4" s="209" t="s">
        <v>97</v>
      </c>
      <c r="U4" s="203" t="s">
        <v>98</v>
      </c>
      <c r="V4" s="203" t="s">
        <v>99</v>
      </c>
      <c r="W4" s="203" t="s">
        <v>100</v>
      </c>
      <c r="X4" s="203" t="s">
        <v>101</v>
      </c>
      <c r="Y4" s="203" t="s">
        <v>102</v>
      </c>
      <c r="Z4" s="203" t="s">
        <v>103</v>
      </c>
    </row>
    <row r="5" spans="2:26" ht="17.25" thickBot="1">
      <c r="B5" s="213"/>
      <c r="C5" s="23" t="s">
        <v>54</v>
      </c>
      <c r="D5" s="23" t="s">
        <v>55</v>
      </c>
      <c r="E5" s="23" t="s">
        <v>54</v>
      </c>
      <c r="F5" s="23" t="s">
        <v>55</v>
      </c>
      <c r="G5" s="23" t="s">
        <v>54</v>
      </c>
      <c r="H5" s="23" t="s">
        <v>55</v>
      </c>
      <c r="I5" s="23" t="s">
        <v>54</v>
      </c>
      <c r="J5" s="23" t="s">
        <v>55</v>
      </c>
      <c r="K5" s="23" t="s">
        <v>54</v>
      </c>
      <c r="L5" s="23" t="s">
        <v>55</v>
      </c>
      <c r="M5" s="23" t="s">
        <v>54</v>
      </c>
      <c r="N5" s="23" t="s">
        <v>55</v>
      </c>
      <c r="O5" s="23" t="s">
        <v>54</v>
      </c>
      <c r="P5" s="23" t="s">
        <v>55</v>
      </c>
      <c r="Q5" s="24" t="s">
        <v>54</v>
      </c>
      <c r="R5" s="24" t="s">
        <v>56</v>
      </c>
      <c r="T5" s="210"/>
      <c r="U5" s="204"/>
      <c r="V5" s="204"/>
      <c r="W5" s="204"/>
      <c r="X5" s="204"/>
      <c r="Y5" s="204"/>
      <c r="Z5" s="204"/>
    </row>
    <row r="6" spans="2:26" ht="19.5" thickBot="1">
      <c r="B6" s="25" t="s">
        <v>57</v>
      </c>
      <c r="C6" s="26">
        <f>SUMPRODUCT(SUMIFS(Daily!$S:$S,Daily!$G:$G,"1",Daily!$C:$C,"ATK",Daily!$I:$I,"수리완료")) + SUMPRODUCT(SUMIFS(Daily!$S:$S,Daily!$G:$G,"1",Daily!$C:$C,"ATK",Daily!$I:$I,"외주수리완료"))</f>
        <v>144</v>
      </c>
      <c r="D6" s="122">
        <f>IF($R$2="K\",(SUMPRODUCT(SUMIFS(Daily!$W:$W,Daily!$G:$G,"1",Daily!$C:$C,"ATK",Daily!$I:$I,"수리완료")) + SUMPRODUCT(SUMIFS(Daily!$W:$W,Daily!$G:$G,"1",Daily!$C:$C,"ATK",Daily!$I:$I,"외주수리완료"))),(SUMPRODUCT(SUMIFS(Daily!$W:$W,Daily!$G:$G,"1",Daily!$C:$C,"ATK",Daily!$I:$I,"수리완료")) + SUMPRODUCT(SUMIFS(Daily!$W:$W,Daily!$G:$G,"1",Daily!$C:$C,"ATK",Daily!$I:$I,"외주수리완료")))/$R$3)</f>
        <v>140.17681818181819</v>
      </c>
      <c r="E6" s="26">
        <f>SUMIFS(Daily!$S:$S,Daily!$G:$G,1,Daily!$I:$I,{"수리완료"},Daily!$C:$C,"ATP")+SUMIFS(Daily!$S:$S,Daily!$G:$G,1,Daily!$I:$I,{"외주수리완료"},Daily!$C:$C,"ATP")</f>
        <v>10</v>
      </c>
      <c r="F6" s="122">
        <f>IF($R$2="K\",SUMIFS(Daily!$W:$W,Daily!$G:$G,1,Daily!$I:$I,{"수리완료"},Daily!$C:$C,"ATP")+SUMIFS(Daily!$W:$W,Daily!$G:$G,1,Daily!$I:$I,{"외주수리완료"},Daily!$C:$C,"ATP"),(SUMIFS(Daily!$W:$W,Daily!$G:$G,1,Daily!$I:$I,{"수리완료"},Daily!$C:$C,"ATP")+SUMIFS(Daily!$W:$W,Daily!$G:$G,1,Daily!$I:$I,{"외주수리완료"},Daily!$C:$C,"ATP"))/$R$3)</f>
        <v>17.045454545454547</v>
      </c>
      <c r="G6" s="26">
        <f>SUMIFS(Daily!$S:$S,Daily!$G:$G,1,Daily!$I:$I,{"수리완료"},Daily!$C:$C,"ATC")+SUMIFS(Daily!$S:$S,Daily!$G:$G,1,Daily!$I:$I,{"외주수리완료"},Daily!$C:$C,"ATC")</f>
        <v>0</v>
      </c>
      <c r="H6" s="122">
        <f>IF($R$2="K\",SUMIFS(Daily!$W:$W,Daily!$G:$G,1,Daily!$I:$I,{"수리완료"},Daily!$C:$C,"ATC")+SUMIFS(Daily!$W:$W,Daily!$G:$G,1,Daily!$I:$I,{"외주수리완료"},Daily!$C:$C,"ATC"),(SUMIFS(Daily!$W:$W,Daily!$G:$G,1,Daily!$I:$I,{"수리완료"},Daily!$C:$C,"ATC")+SUMIFS(Daily!$W:$W,Daily!$G:$G,1,Daily!$I:$I,{"외주수리완료"},Daily!$C:$C,"ATC"))/$R$3)</f>
        <v>0</v>
      </c>
      <c r="I6" s="26">
        <f>SUMIFS(Daily!$S:$S,Daily!$G:$G,1,Daily!$I:$I,{"수리완료"},Daily!$C:$C,"ATT")+SUMIFS(Daily!$S:$S,Daily!$G:$G,1,Daily!$I:$I,{"외주수리완료"},Daily!$C:$C,"ATT")</f>
        <v>0</v>
      </c>
      <c r="J6" s="122">
        <f>IF($R$2="K\",SUMIFS(Daily!$W:$W,Daily!$G:$G,1,Daily!$I:$I,{"수리완료"},Daily!$C:$C,"ATT")+SUMIFS(Daily!$W:$W,Daily!$G:$G,1,Daily!$I:$I,{"외주수리완료"},Daily!$C:$C,"ATT"),(SUMIFS(Daily!$W:$W,Daily!$G:$G,1,Daily!$I:$I,{"수리완료"},Daily!$C:$C,"ATT")+SUMIFS(Daily!$W:$W,Daily!$G:$G,1,Daily!$I:$I,{"외주수리완료"},Daily!$C:$C,"ATT"))/$R$3)</f>
        <v>0</v>
      </c>
      <c r="K6" s="26">
        <f>SUMIFS(Daily!$S:$S,Daily!$G:$G,1,Daily!$I:$I,{"수리완료"},Daily!$C:$C,"ATM")+SUMIFS(Daily!$S:$S,Daily!$G:$G,1,Daily!$I:$I,{"외주수리완료"},Daily!$C:$C,"ATM")</f>
        <v>2</v>
      </c>
      <c r="L6" s="122">
        <f>IF($R$2="K\",SUMIFS(Daily!$W:$W,Daily!$G:$G,1,Daily!$I:$I,{"수리완료"},Daily!$C:$C,"ATM")+SUMIFS(Daily!$W:$W,Daily!$G:$G,1,Daily!$I:$I,{"외주수리완료"},Daily!$C:$C,"ATM"),(SUMIFS(Daily!$W:$W,Daily!$G:$G,1,Daily!$I:$I,{"수리완료"},Daily!$C:$C,"ATM")+SUMIFS(Daily!$W:$W,Daily!$G:$G,1,Daily!$I:$I,{"외주수리완료"},Daily!$C:$C,"ATM"))/$R$3)</f>
        <v>1.9727272727272727</v>
      </c>
      <c r="M6" s="26">
        <f>SUMIFS(Daily!$S:$S,Daily!$G:$G,1,Daily!$I:$I,{"수리완료"},Daily!$C:$C,"ATJ")+SUMIFS(Daily!$S:$S,Daily!$G:$G,1,Daily!$I:$I,{"외주수리완료"},Daily!$C:$C,"ATJ")</f>
        <v>0</v>
      </c>
      <c r="N6" s="122">
        <f>IF($R$2="K\",SUMIFS(Daily!$W:$W,Daily!$G:$G,1,Daily!$I:$I,{"수리완료"},Daily!$C:$C,"ATJ")+SUMIFS(Daily!$W:$W,Daily!$G:$G,1,Daily!$I:$I,{"외주수리완료"},Daily!$C:$C,"ATJ"),(SUMIFS(Daily!$W:$W,Daily!$G:$G,1,Daily!$I:$I,{"수리완료"},Daily!$C:$C,"ATJ")+SUMIFS(Daily!$W:$W,Daily!$G:$G,1,Daily!$I:$I,{"외주수리완료"},Daily!$C:$C,"ATJ"))/$R$3)</f>
        <v>0</v>
      </c>
      <c r="O6" s="26">
        <f>SUMIFS(Daily!$S:$S,Daily!$G:$G,1,Daily!$I:$I,{"*수리완료"},Daily!$C:$C,"ATEP")</f>
        <v>0</v>
      </c>
      <c r="P6" s="122">
        <f>IF($R$2="K\",SUMIFS(Daily!$W:$W,Daily!$G:$G,1,Daily!$I:$I,{"수리완료"},Daily!$C:$C,"ATEP")+SUMIFS(Daily!$W:$W,Daily!$G:$G,1,Daily!$I:$I,{"외주수리완료"},Daily!$C:$C,"ATEP"),(SUMIFS(Daily!$W:$W,Daily!$G:$G,1,Daily!$I:$I,{"수리완료"},Daily!$C:$C,"ATEP")+SUMIFS(Daily!$W:$W,Daily!$G:$G,1,Daily!$I:$I,{"외주수리완료"},Daily!$C:$C,"ATEP"))/$R$3)</f>
        <v>0</v>
      </c>
      <c r="Q6" s="27">
        <f>C6+E6+G6+I6+K6+M6+O6</f>
        <v>156</v>
      </c>
      <c r="R6" s="124">
        <f>D6+F6+H6+J6+L6+N6+P6</f>
        <v>159.19500000000002</v>
      </c>
      <c r="T6" s="94" t="s">
        <v>52</v>
      </c>
      <c r="U6" s="101">
        <f>COUNTIF(Daily!C:C, T6)-COUNTIFS(Daily!C:C, T6, Daily!I:I, "Other")</f>
        <v>308</v>
      </c>
      <c r="V6" s="101">
        <f>COUNTIFS(Daily!C:C, T6, Daily!I:I, "수리완료")+COUNTIFS(Daily!C:C, T6, Daily!I:I, "외주수리완료")</f>
        <v>269</v>
      </c>
      <c r="W6" s="95">
        <f>COUNTIFS(Daily!C:C, T6, Daily!I:I, "수리불가")+COUNTIFS(Daily!C:C, T6, Daily!I:I, "외주수리불가")+COUNTIFS(Daily!C:C, T6, Daily!I:I, "폐기")</f>
        <v>23</v>
      </c>
      <c r="X6" s="95">
        <v>0</v>
      </c>
      <c r="Y6" s="95">
        <f>COUNTIFS(Daily!C:C, T6, Daily!I:I, "수리중")+COUNTIFS(Daily!C:C, T6, Daily!I:I, "외주수리중")</f>
        <v>16</v>
      </c>
      <c r="Z6" s="96">
        <f>(SUMIFS(Daily!W:W, Daily!C:C, T6, Daily!I:I, "수리완료")+SUMIFS(Daily!W:W, Daily!C:C, T6, Daily!I:I, "외주수리완료"))/$Z$2</f>
        <v>352.31454545454545</v>
      </c>
    </row>
    <row r="7" spans="2:26" ht="19.5" thickBot="1">
      <c r="B7" s="25" t="s">
        <v>58</v>
      </c>
      <c r="C7" s="26">
        <f>SUMPRODUCT(SUMIFS(Daily!$S:$S,Daily!$G:$G,"2",Daily!$C:$C,"ATK",Daily!$I:$I,"수리완료")) + SUMPRODUCT(SUMIFS(Daily!$S:$S,Daily!$G:$G,"2",Daily!$C:$C,"ATK",Daily!$I:$I,"외주수리완료"))</f>
        <v>172</v>
      </c>
      <c r="D7" s="122">
        <f>IF($R$2="K\",(SUMPRODUCT(SUMIFS(Daily!$W:$W,Daily!$G:$G,"2",Daily!$C:$C,"ATK",Daily!$I:$I,"수리완료")) + SUMPRODUCT(SUMIFS(Daily!$W:$W,Daily!$G:$G,"2",Daily!$C:$C,"ATK",Daily!$I:$I,"외주수리완료"))),(SUMPRODUCT(SUMIFS(Daily!$W:$W,Daily!$G:$G,"2",Daily!$C:$C,"ATK",Daily!$I:$I,"수리완료")) + SUMPRODUCT(SUMIFS(Daily!$W:$W,Daily!$G:$G,"2",Daily!$C:$C,"ATK",Daily!$I:$I,"외주수리완료")))/$R$3)</f>
        <v>193.90954545454545</v>
      </c>
      <c r="E7" s="26">
        <f>SUMIFS(Daily!$S:$S,Daily!$G:$G,2,Daily!$I:$I,{"수리완료"},Daily!$C:$C,"ATP")+SUMIFS(Daily!$S:$S,Daily!$G:$G,2,Daily!$I:$I,{"외주수리완료"},Daily!$C:$C,"ATP")</f>
        <v>2</v>
      </c>
      <c r="F7" s="122">
        <f>IF($R$2="K\",SUMIFS(Daily!$W:$W,Daily!$G:$G,2,Daily!$I:$I,{"수리완료"},Daily!$C:$C,"ATP")+SUMIFS(Daily!$W:$W,Daily!$G:$G,2,Daily!$I:$I,{"외주수리완료"},Daily!$C:$C,"ATP"),(SUMIFS(Daily!$W:$W,Daily!$G:$G,2,Daily!$I:$I,{"수리완료"},Daily!$C:$C,"ATP")+SUMIFS(Daily!$W:$W,Daily!$G:$G,2,Daily!$I:$I,{"외주수리완료"},Daily!$C:$C,"ATP"))/$R$3)</f>
        <v>5.4545454545454541</v>
      </c>
      <c r="G7" s="26">
        <f>SUMIFS(Daily!$S:$S,Daily!$G:$G,2,Daily!$I:$I,{"수리완료"},Daily!$C:$C,"ATC")+SUMIFS(Daily!$S:$S,Daily!$G:$G,2,Daily!$I:$I,{"외주수리완료"},Daily!$C:$C,"ATC")</f>
        <v>0</v>
      </c>
      <c r="H7" s="122">
        <f>IF($R$2="K\",SUMIFS(Daily!$W:$W,Daily!$G:$G,2,Daily!$I:$I,{"수리완료"},Daily!$C:$C,"ATC")+SUMIFS(Daily!$W:$W,Daily!$G:$G,2,Daily!$I:$I,{"외주수리완료"},Daily!$C:$C,"ATC"),(SUMIFS(Daily!$W:$W,Daily!$G:$G,2,Daily!$I:$I,{"수리완료"},Daily!$C:$C,"ATC")+SUMIFS(Daily!$W:$W,Daily!$G:$G,2,Daily!$I:$I,{"외주수리완료"},Daily!$C:$C,"ATC"))/$R$3)</f>
        <v>0</v>
      </c>
      <c r="I7" s="26">
        <f>SUMIFS(Daily!$S:$S,Daily!$G:$G,2,Daily!$I:$I,{"수리완료"},Daily!$C:$C,"ATT")+SUMIFS(Daily!$S:$S,Daily!$G:$G,2,Daily!$I:$I,{"외주수리완료"},Daily!$C:$C,"ATT")</f>
        <v>0</v>
      </c>
      <c r="J7" s="122">
        <f>IF($R$2="K\",SUMIFS(Daily!$W:$W,Daily!$G:$G,2,Daily!$I:$I,{"수리완료"},Daily!$C:$C,"ATT")+SUMIFS(Daily!$W:$W,Daily!$G:$G,2,Daily!$I:$I,{"외주수리완료"},Daily!$C:$C,"ATT"),(SUMIFS(Daily!$W:$W,Daily!$G:$G,2,Daily!$I:$I,{"수리완료"},Daily!$C:$C,"ATT")+SUMIFS(Daily!$W:$W,Daily!$G:$G,2,Daily!$I:$I,{"외주수리완료"},Daily!$C:$C,"ATT"))/$R$3)</f>
        <v>0</v>
      </c>
      <c r="K7" s="26">
        <f>SUMIFS(Daily!$S:$S,Daily!$G:$G,2,Daily!$I:$I,{"수리완료"},Daily!$C:$C,"ATM")+SUMIFS(Daily!$S:$S,Daily!$G:$G,2,Daily!$I:$I,{"외주수리완료"},Daily!$C:$C,"ATM")</f>
        <v>0</v>
      </c>
      <c r="L7" s="122">
        <f>IF($R$2="K\",SUMIFS(Daily!$W:$W,Daily!$G:$G,2,Daily!$I:$I,{"수리완료"},Daily!$C:$C,"ATM")+SUMIFS(Daily!$W:$W,Daily!$G:$G,2,Daily!$I:$I,{"외주수리완료"},Daily!$C:$C,"ATM"),(SUMIFS(Daily!$W:$W,Daily!$G:$G,2,Daily!$I:$I,{"수리완료"},Daily!$C:$C,"ATM")+SUMIFS(Daily!$W:$W,Daily!$G:$G,2,Daily!$I:$I,{"외주수리완료"},Daily!$C:$C,"ATM"))/$R$3)</f>
        <v>0</v>
      </c>
      <c r="M7" s="26">
        <f>SUMIFS(Daily!$S:$S,Daily!$G:$G,2,Daily!$I:$I,{"수리완료"},Daily!$C:$C,"ATJ")+SUMIFS(Daily!$S:$S,Daily!$G:$G,2,Daily!$I:$I,{"외주수리완료"},Daily!$C:$C,"ATJ")</f>
        <v>0</v>
      </c>
      <c r="N7" s="122">
        <f>IF($R$2="K\",SUMIFS(Daily!$W:$W,Daily!$G:$G,2,Daily!$I:$I,{"수리완료"},Daily!$C:$C,"ATJ")+SUMIFS(Daily!$W:$W,Daily!$G:$G,2,Daily!$I:$I,{"외주수리완료"},Daily!$C:$C,"ATJ"),(SUMIFS(Daily!$W:$W,Daily!$G:$G,2,Daily!$I:$I,{"수리완료"},Daily!$C:$C,"ATJ")+SUMIFS(Daily!$W:$W,Daily!$G:$G,2,Daily!$I:$I,{"외주수리완료"},Daily!$C:$C,"ATJ"))/$R$3)</f>
        <v>0</v>
      </c>
      <c r="O7" s="26">
        <f>SUMIFS(Daily!$S:$S,Daily!$G:$G,2,Daily!$I:$I,{"*수리완료"},Daily!$C:$C,"ATEP")</f>
        <v>0</v>
      </c>
      <c r="P7" s="122">
        <f>IF($R$2="K\",SUMIFS(Daily!$W:$W,Daily!$G:$G,2,Daily!$I:$I,{"수리완료"},Daily!$C:$C,"ATEP")+SUMIFS(Daily!$W:$W,Daily!$G:$G,2,Daily!$I:$I,{"외주수리완료"},Daily!$C:$C,"ATEP"),(SUMIFS(Daily!$W:$W,Daily!$G:$G,2,Daily!$I:$I,{"수리완료"},Daily!$C:$C,"ATEP")+SUMIFS(Daily!$W:$W,Daily!$G:$G,2,Daily!$I:$I,{"외주수리완료"},Daily!$C:$C,"ATEP"))/$R$3)</f>
        <v>0</v>
      </c>
      <c r="Q7" s="27">
        <f t="shared" ref="Q7:Q17" si="0">C7+E7+G7+I7+K7+M7+O7</f>
        <v>174</v>
      </c>
      <c r="R7" s="124">
        <f t="shared" ref="R7:R17" si="1">D7+F7+H7+J7+L7+N7+P7</f>
        <v>199.36409090909092</v>
      </c>
      <c r="T7" s="97" t="s">
        <v>23</v>
      </c>
      <c r="U7" s="102">
        <f>COUNTIF(Daily!C:C, T7)-COUNTIFS(Daily!C:C, T7, Daily!I:I, "Other")</f>
        <v>7</v>
      </c>
      <c r="V7" s="102">
        <f>COUNTIFS(Daily!C:C, T7, Daily!I:I, "수리완료")+COUNTIFS(Daily!C:C, T7, Daily!I:I, "외주수리완료")</f>
        <v>7</v>
      </c>
      <c r="W7" s="98">
        <f>COUNTIFS(Daily!C:C, T7, Daily!I:I, "수리불가")+COUNTIFS(Daily!C:C, T7, Daily!I:I, "외주수리불가")+COUNTIFS(Daily!C:C, T7, Daily!I:I, "폐기")</f>
        <v>0</v>
      </c>
      <c r="X7" s="99">
        <v>0</v>
      </c>
      <c r="Y7" s="98">
        <f>COUNTIFS(Daily!C:C, T7, Daily!I:I, "수리중")+COUNTIFS(Daily!C:C, T7, Daily!I:I, "외주수리중")</f>
        <v>0</v>
      </c>
      <c r="Z7" s="100">
        <f>(SUMIFS(Daily!W:W, Daily!C:C, T7, Daily!I:I, "수리완료")+SUMIFS(Daily!W:W, Daily!C:C, T7, Daily!I:I, "외주수리완료"))/$Z$2</f>
        <v>22.5</v>
      </c>
    </row>
    <row r="8" spans="2:26" ht="19.5" thickBot="1">
      <c r="B8" s="25" t="s">
        <v>59</v>
      </c>
      <c r="C8" s="26">
        <f>SUMPRODUCT(SUMIFS(Daily!$S:$S,Daily!$G:$G,"3",Daily!$C:$C,"ATK",Daily!$I:$I,"수리완료")) + SUMPRODUCT(SUMIFS(Daily!$S:$S,Daily!$G:$G,"3",Daily!$C:$C,"ATK",Daily!$I:$I,"외주수리완료"))</f>
        <v>12</v>
      </c>
      <c r="D8" s="122">
        <f>IF($R$2="K\",(SUMPRODUCT(SUMIFS(Daily!$W:$W,Daily!$G:$G,"3",Daily!$C:$C,"ATK",Daily!$I:$I,"수리완료")) + SUMPRODUCT(SUMIFS(Daily!$W:$W,Daily!$G:$G,"3",Daily!$C:$C,"ATK",Daily!$I:$I,"외주수리완료"))),(SUMPRODUCT(SUMIFS(Daily!$W:$W,Daily!$G:$G,"3",Daily!$C:$C,"ATK",Daily!$I:$I,"수리완료")) + SUMPRODUCT(SUMIFS(Daily!$W:$W,Daily!$G:$G,"3",Daily!$C:$C,"ATK",Daily!$I:$I,"외주수리완료")))/$R$3)</f>
        <v>18.228181818181817</v>
      </c>
      <c r="E8" s="26">
        <f>SUMIFS(Daily!$S:$S,Daily!$G:$G,3,Daily!$I:$I,{"수리완료"},Daily!$C:$C,"ATP")+SUMIFS(Daily!$S:$S,Daily!$G:$G,3,Daily!$I:$I,{"외주수리완료"},Daily!$C:$C,"ATP")</f>
        <v>0</v>
      </c>
      <c r="F8" s="122">
        <f>IF($R$2="K\",SUMIFS(Daily!$W:$W,Daily!$G:$G,3,Daily!$I:$I,{"수리완료"},Daily!$C:$C,"ATP")+SUMIFS(Daily!$W:$W,Daily!$G:$G,3,Daily!$I:$I,{"외주수리완료"},Daily!$C:$C,"ATP"),(SUMIFS(Daily!$W:$W,Daily!$G:$G,3,Daily!$I:$I,{"수리완료"},Daily!$C:$C,"ATP")+SUMIFS(Daily!$W:$W,Daily!$G:$G,3,Daily!$I:$I,{"외주수리완료"},Daily!$C:$C,"ATP"))/$R$3)</f>
        <v>0</v>
      </c>
      <c r="G8" s="26">
        <f>SUMIFS(Daily!$S:$S,Daily!$G:$G,3,Daily!$I:$I,{"수리완료"},Daily!$C:$C,"ATC")+SUMIFS(Daily!$S:$S,Daily!$G:$G,3,Daily!$I:$I,{"외주수리완료"},Daily!$C:$C,"ATC")</f>
        <v>0</v>
      </c>
      <c r="H8" s="122">
        <f>IF($R$2="K\",SUMIFS(Daily!$W:$W,Daily!$G:$G,3,Daily!$I:$I,{"수리완료"},Daily!$C:$C,"ATC")+SUMIFS(Daily!$W:$W,Daily!$G:$G,3,Daily!$I:$I,{"외주수리완료"},Daily!$C:$C,"ATC"),(SUMIFS(Daily!$W:$W,Daily!$G:$G,3,Daily!$I:$I,{"수리완료"},Daily!$C:$C,"ATC")+SUMIFS(Daily!$W:$W,Daily!$G:$G,3,Daily!$I:$I,{"외주수리완료"},Daily!$C:$C,"ATC"))/$R$3)</f>
        <v>0</v>
      </c>
      <c r="I8" s="26">
        <f>SUMIFS(Daily!$S:$S,Daily!$G:$G,3,Daily!$I:$I,{"수리완료"},Daily!$C:$C,"ATT")+SUMIFS(Daily!$S:$S,Daily!$G:$G,3,Daily!$I:$I,{"외주수리완료"},Daily!$C:$C,"ATT")</f>
        <v>0</v>
      </c>
      <c r="J8" s="122">
        <f>IF($R$2="K\",SUMIFS(Daily!$W:$W,Daily!$G:$G,3,Daily!$I:$I,{"수리완료"},Daily!$C:$C,"ATT")+SUMIFS(Daily!$W:$W,Daily!$G:$G,3,Daily!$I:$I,{"외주수리완료"},Daily!$C:$C,"ATT"),(SUMIFS(Daily!$W:$W,Daily!$G:$G,3,Daily!$I:$I,{"수리완료"},Daily!$C:$C,"ATT")+SUMIFS(Daily!$W:$W,Daily!$G:$G,3,Daily!$I:$I,{"외주수리완료"},Daily!$C:$C,"ATT"))/$R$3)</f>
        <v>0</v>
      </c>
      <c r="K8" s="26">
        <f>SUMIFS(Daily!$S:$S,Daily!$G:$G,3,Daily!$I:$I,{"수리완료"},Daily!$C:$C,"ATM")+SUMIFS(Daily!$S:$S,Daily!$G:$G,3,Daily!$I:$I,{"외주수리완료"},Daily!$C:$C,"ATM")</f>
        <v>0</v>
      </c>
      <c r="L8" s="122">
        <f>IF($R$2="K\",SUMIFS(Daily!$W:$W,Daily!$G:$G,3,Daily!$I:$I,{"수리완료"},Daily!$C:$C,"ATM")+SUMIFS(Daily!$W:$W,Daily!$G:$G,3,Daily!$I:$I,{"외주수리완료"},Daily!$C:$C,"ATM"),(SUMIFS(Daily!$W:$W,Daily!$G:$G,3,Daily!$I:$I,{"수리완료"},Daily!$C:$C,"ATM")+SUMIFS(Daily!$W:$W,Daily!$G:$G,3,Daily!$I:$I,{"외주수리완료"},Daily!$C:$C,"ATM"))/$R$3)</f>
        <v>0</v>
      </c>
      <c r="M8" s="26">
        <f>SUMIFS(Daily!$S:$S,Daily!$G:$G,3,Daily!$I:$I,{"수리완료"},Daily!$C:$C,"ATJ")+SUMIFS(Daily!$S:$S,Daily!$G:$G,3,Daily!$I:$I,{"외주수리완료"},Daily!$C:$C,"ATJ")</f>
        <v>0</v>
      </c>
      <c r="N8" s="122">
        <f>IF($R$2="K\",SUMIFS(Daily!$W:$W,Daily!$G:$G,3,Daily!$I:$I,{"수리완료"},Daily!$C:$C,"ATJ")+SUMIFS(Daily!$W:$W,Daily!$G:$G,3,Daily!$I:$I,{"외주수리완료"},Daily!$C:$C,"ATJ"),(SUMIFS(Daily!$W:$W,Daily!$G:$G,3,Daily!$I:$I,{"수리완료"},Daily!$C:$C,"ATJ")+SUMIFS(Daily!$W:$W,Daily!$G:$G,3,Daily!$I:$I,{"외주수리완료"},Daily!$C:$C,"ATJ"))/$R$3)</f>
        <v>0</v>
      </c>
      <c r="O8" s="26">
        <f>SUMIFS(Daily!$S:$S,Daily!$G:$G,3,Daily!$I:$I,{"*수리완료"},Daily!$C:$C,"ATEP")</f>
        <v>0</v>
      </c>
      <c r="P8" s="122">
        <f>IF($R$2="K\",SUMIFS(Daily!$W:$W,Daily!$G:$G,3,Daily!$I:$I,{"수리완료"},Daily!$C:$C,"ATEP")+SUMIFS(Daily!$W:$W,Daily!$G:$G,3,Daily!$I:$I,{"외주수리완료"},Daily!$C:$C,"ATEP"),(SUMIFS(Daily!$W:$W,Daily!$G:$G,3,Daily!$I:$I,{"수리완료"},Daily!$C:$C,"ATEP")+SUMIFS(Daily!$W:$W,Daily!$G:$G,3,Daily!$I:$I,{"외주수리완료"},Daily!$C:$C,"ATEP"))/$R$3)</f>
        <v>0</v>
      </c>
      <c r="Q8" s="27">
        <f t="shared" si="0"/>
        <v>12</v>
      </c>
      <c r="R8" s="124">
        <f t="shared" si="1"/>
        <v>18.228181818181817</v>
      </c>
      <c r="T8" s="94" t="s">
        <v>31</v>
      </c>
      <c r="U8" s="101">
        <f>COUNTIF(Daily!C:C, T8)-COUNTIFS(Daily!C:C, T8, Daily!I:I, "Other")</f>
        <v>0</v>
      </c>
      <c r="V8" s="95">
        <f>COUNTIFS(Daily!C:C, T8, Daily!I:I, "수리완료")+COUNTIFS(Daily!C:C, T8, Daily!I:I, "외주수리완료")</f>
        <v>0</v>
      </c>
      <c r="W8" s="95">
        <f>COUNTIFS(Daily!C:C, T8, Daily!I:I, "수리불가")+COUNTIFS(Daily!C:C, T8, Daily!I:I, "외주수리불가")+COUNTIFS(Daily!C:C, T8, Daily!I:I, "폐기")</f>
        <v>0</v>
      </c>
      <c r="X8" s="95">
        <v>0</v>
      </c>
      <c r="Y8" s="95">
        <f>COUNTIFS(Daily!C:C, T8, Daily!I:I, "수리중")+COUNTIFS(Daily!C:C, T8, Daily!I:I, "외주수리중")</f>
        <v>0</v>
      </c>
      <c r="Z8" s="96">
        <f>(SUMIFS(Daily!W:W, Daily!C:C, T8, Daily!I:I, "수리완료")+SUMIFS(Daily!W:W, Daily!C:C, T8, Daily!I:I, "외주수리완료"))/$Z$2</f>
        <v>0</v>
      </c>
    </row>
    <row r="9" spans="2:26" ht="19.5" thickBot="1">
      <c r="B9" s="25" t="s">
        <v>60</v>
      </c>
      <c r="C9" s="26">
        <f>SUMPRODUCT(SUMIFS(Daily!$S:$S,Daily!$G:$G,"4",Daily!$C:$C,"ATK",Daily!$I:$I,"수리완료")) + SUMPRODUCT(SUMIFS(Daily!$S:$S,Daily!$G:$G,"4",Daily!$C:$C,"ATK",Daily!$I:$I,"외주수리완료"))</f>
        <v>0</v>
      </c>
      <c r="D9" s="122">
        <f>IF($R$2="K\",(SUMPRODUCT(SUMIFS(Daily!$W:$W,Daily!$G:$G,"4",Daily!$C:$C,"ATK",Daily!$I:$I,"수리완료")) + SUMPRODUCT(SUMIFS(Daily!$W:$W,Daily!$G:$G,"4",Daily!$C:$C,"ATK",Daily!$I:$I,"외주수리완료"))),(SUMPRODUCT(SUMIFS(Daily!$W:$W,Daily!$G:$G,"4",Daily!$C:$C,"ATK",Daily!$I:$I,"수리완료")) + SUMPRODUCT(SUMIFS(Daily!$W:$W,Daily!$G:$G,"4",Daily!$C:$C,"ATK",Daily!$I:$I,"외주수리완료")))/$R$3)</f>
        <v>0</v>
      </c>
      <c r="E9" s="26">
        <f>SUMIFS(Daily!$S:$S,Daily!$G:$G,4,Daily!$I:$I,{"수리완료"},Daily!$C:$C,"ATP")+SUMIFS(Daily!$S:$S,Daily!$G:$G,4,Daily!$I:$I,{"외주수리완료"},Daily!$C:$C,"ATP")</f>
        <v>0</v>
      </c>
      <c r="F9" s="122">
        <f>IF($R$2="K\",SUMIFS(Daily!$W:$W,Daily!$G:$G,4,Daily!$I:$I,{"수리완료"},Daily!$C:$C,"ATP")+SUMIFS(Daily!$W:$W,Daily!$G:$G,4,Daily!$I:$I,{"외주수리완료"},Daily!$C:$C,"ATP"),(SUMIFS(Daily!$W:$W,Daily!$G:$G,4,Daily!$I:$I,{"수리완료"},Daily!$C:$C,"ATP")+SUMIFS(Daily!$W:$W,Daily!$G:$G,4,Daily!$I:$I,{"외주수리완료"},Daily!$C:$C,"ATP"))/$R$3)</f>
        <v>0</v>
      </c>
      <c r="G9" s="26">
        <f>SUMIFS(Daily!$S:$S,Daily!$G:$G,4,Daily!$I:$I,{"수리완료"},Daily!$C:$C,"ATC")+SUMIFS(Daily!$S:$S,Daily!$G:$G,4,Daily!$I:$I,{"외주수리완료"},Daily!$C:$C,"ATC")</f>
        <v>0</v>
      </c>
      <c r="H9" s="122">
        <f>IF($R$2="K\",SUMIFS(Daily!$W:$W,Daily!$G:$G,4,Daily!$I:$I,{"수리완료"},Daily!$C:$C,"ATC")+SUMIFS(Daily!$W:$W,Daily!$G:$G,4,Daily!$I:$I,{"외주수리완료"},Daily!$C:$C,"ATC"),(SUMIFS(Daily!$W:$W,Daily!$G:$G,4,Daily!$I:$I,{"수리완료"},Daily!$C:$C,"ATC")+SUMIFS(Daily!$W:$W,Daily!$G:$G,4,Daily!$I:$I,{"외주수리완료"},Daily!$C:$C,"ATC"))/$R$3)</f>
        <v>0</v>
      </c>
      <c r="I9" s="26">
        <f>SUMIFS(Daily!$S:$S,Daily!$G:$G,4,Daily!$I:$I,{"수리완료"},Daily!$C:$C,"ATT")+SUMIFS(Daily!$S:$S,Daily!$G:$G,4,Daily!$I:$I,{"외주수리완료"},Daily!$C:$C,"ATT")</f>
        <v>0</v>
      </c>
      <c r="J9" s="122">
        <f>IF($R$2="K\",SUMIFS(Daily!$W:$W,Daily!$G:$G,4,Daily!$I:$I,{"수리완료"},Daily!$C:$C,"ATT")+SUMIFS(Daily!$W:$W,Daily!$G:$G,4,Daily!$I:$I,{"외주수리완료"},Daily!$C:$C,"ATT"),(SUMIFS(Daily!$W:$W,Daily!$G:$G,4,Daily!$I:$I,{"수리완료"},Daily!$C:$C,"ATT")+SUMIFS(Daily!$W:$W,Daily!$G:$G,4,Daily!$I:$I,{"외주수리완료"},Daily!$C:$C,"ATT"))/$R$3)</f>
        <v>0</v>
      </c>
      <c r="K9" s="26">
        <f>SUMIFS(Daily!$S:$S,Daily!$G:$G,4,Daily!$I:$I,{"수리완료"},Daily!$C:$C,"ATM")+SUMIFS(Daily!$S:$S,Daily!$G:$G,4,Daily!$I:$I,{"외주수리완료"},Daily!$C:$C,"ATM")</f>
        <v>0</v>
      </c>
      <c r="L9" s="122">
        <f>IF($R$2="K\",SUMIFS(Daily!$W:$W,Daily!$G:$G,4,Daily!$I:$I,{"수리완료"},Daily!$C:$C,"ATM")+SUMIFS(Daily!$W:$W,Daily!$G:$G,4,Daily!$I:$I,{"외주수리완료"},Daily!$C:$C,"ATM"),(SUMIFS(Daily!$W:$W,Daily!$G:$G,4,Daily!$I:$I,{"수리완료"},Daily!$C:$C,"ATM")+SUMIFS(Daily!$W:$W,Daily!$G:$G,4,Daily!$I:$I,{"외주수리완료"},Daily!$C:$C,"ATM"))/$R$3)</f>
        <v>0</v>
      </c>
      <c r="M9" s="26">
        <f>SUMIFS(Daily!$S:$S,Daily!$G:$G,4,Daily!$I:$I,{"수리완료"},Daily!$C:$C,"ATJ")+SUMIFS(Daily!$S:$S,Daily!$G:$G,4,Daily!$I:$I,{"외주수리완료"},Daily!$C:$C,"ATJ")</f>
        <v>0</v>
      </c>
      <c r="N9" s="122">
        <f>IF($R$2="K\",SUMIFS(Daily!$W:$W,Daily!$G:$G,4,Daily!$I:$I,{"수리완료"},Daily!$C:$C,"ATJ")+SUMIFS(Daily!$W:$W,Daily!$G:$G,4,Daily!$I:$I,{"외주수리완료"},Daily!$C:$C,"ATJ"),(SUMIFS(Daily!$W:$W,Daily!$G:$G,4,Daily!$I:$I,{"수리완료"},Daily!$C:$C,"ATJ")+SUMIFS(Daily!$W:$W,Daily!$G:$G,4,Daily!$I:$I,{"외주수리완료"},Daily!$C:$C,"ATJ"))/$R$3)</f>
        <v>0</v>
      </c>
      <c r="O9" s="26">
        <f>SUMIFS(Daily!$S:$S,Daily!$G:$G,4,Daily!$I:$I,{"*수리완료"},Daily!$C:$C,"ATEP")</f>
        <v>0</v>
      </c>
      <c r="P9" s="122">
        <f>IF($R$2="K\",SUMIFS(Daily!$W:$W,Daily!$G:$G,4,Daily!$I:$I,{"수리완료"},Daily!$C:$C,"ATEP")+SUMIFS(Daily!$W:$W,Daily!$G:$G,4,Daily!$I:$I,{"외주수리완료"},Daily!$C:$C,"ATEP"),(SUMIFS(Daily!$W:$W,Daily!$G:$G,4,Daily!$I:$I,{"수리완료"},Daily!$C:$C,"ATEP")+SUMIFS(Daily!$W:$W,Daily!$G:$G,4,Daily!$I:$I,{"외주수리완료"},Daily!$C:$C,"ATEP"))/$R$3)</f>
        <v>0</v>
      </c>
      <c r="Q9" s="27">
        <f t="shared" si="0"/>
        <v>0</v>
      </c>
      <c r="R9" s="124">
        <f t="shared" si="1"/>
        <v>0</v>
      </c>
      <c r="T9" s="97" t="s">
        <v>22</v>
      </c>
      <c r="U9" s="102">
        <f>COUNTIF(Daily!C:C, T9)-COUNTIFS(Daily!C:C, T9, Daily!I:I, "Other")</f>
        <v>0</v>
      </c>
      <c r="V9" s="98">
        <f>COUNTIFS(Daily!C:C, T9, Daily!I:I, "수리완료")+COUNTIFS(Daily!C:C, T9, Daily!I:I, "외주수리완료")</f>
        <v>0</v>
      </c>
      <c r="W9" s="98">
        <f>COUNTIFS(Daily!C:C, T9, Daily!I:I, "수리불가")+COUNTIFS(Daily!C:C, T9, Daily!I:I, "외주수리불가")+COUNTIFS(Daily!C:C, T9, Daily!I:I, "폐기")</f>
        <v>0</v>
      </c>
      <c r="X9" s="99">
        <v>0</v>
      </c>
      <c r="Y9" s="98">
        <f>COUNTIFS(Daily!C:C, T9, Daily!I:I, "수리중")+COUNTIFS(Daily!C:C, T9, Daily!I:I, "외주수리중")</f>
        <v>0</v>
      </c>
      <c r="Z9" s="100">
        <f>(SUMIFS(Daily!W:W, Daily!C:C, T9, Daily!I:I, "수리완료")+SUMIFS(Daily!W:W, Daily!C:C, T9, Daily!I:I, "외주수리완료"))/$Z$2</f>
        <v>0</v>
      </c>
    </row>
    <row r="10" spans="2:26" ht="19.5" thickBot="1">
      <c r="B10" s="25" t="s">
        <v>44</v>
      </c>
      <c r="C10" s="26">
        <f>SUMPRODUCT(SUMIFS(Daily!$S:$S,Daily!$G:$G,"5",Daily!$C:$C,"ATK",Daily!$I:$I,"수리완료")) + SUMPRODUCT(SUMIFS(Daily!$S:$S,Daily!$G:$G,"5",Daily!$C:$C,"ATK",Daily!$I:$I,"외주수리완료"))</f>
        <v>0</v>
      </c>
      <c r="D10" s="122">
        <f>IF($R$2="K\",(SUMPRODUCT(SUMIFS(Daily!$W:$W,Daily!$G:$G,"5",Daily!$C:$C,"ATK",Daily!$I:$I,"수리완료")) + SUMPRODUCT(SUMIFS(Daily!$W:$W,Daily!$G:$G,"5",Daily!$C:$C,"ATK",Daily!$I:$I,"외주수리완료"))),(SUMPRODUCT(SUMIFS(Daily!$W:$W,Daily!$G:$G,"5",Daily!$C:$C,"ATK",Daily!$I:$I,"수리완료")) + SUMPRODUCT(SUMIFS(Daily!$W:$W,Daily!$G:$G,"5",Daily!$C:$C,"ATK",Daily!$I:$I,"외주수리완료")))/$R$3)</f>
        <v>0</v>
      </c>
      <c r="E10" s="26">
        <f>SUMIFS(Daily!$S:$S,Daily!$G:$G,5,Daily!$I:$I,{"수리완료"},Daily!$C:$C,"ATP")+SUMIFS(Daily!$S:$S,Daily!$G:$G,5,Daily!$I:$I,{"외주수리완료"},Daily!$C:$C,"ATP")</f>
        <v>0</v>
      </c>
      <c r="F10" s="122">
        <f>IF($R$2="K\",SUMIFS(Daily!$W:$W,Daily!$G:$G,5,Daily!$I:$I,{"수리완료"},Daily!$C:$C,"ATP")+SUMIFS(Daily!$W:$W,Daily!$G:$G,5,Daily!$I:$I,{"외주수리완료"},Daily!$C:$C,"ATP"),(SUMIFS(Daily!$W:$W,Daily!$G:$G,5,Daily!$I:$I,{"수리완료"},Daily!$C:$C,"ATP")+SUMIFS(Daily!$W:$W,Daily!$G:$G,5,Daily!$I:$I,{"외주수리완료"},Daily!$C:$C,"ATP"))/$R$3)</f>
        <v>0</v>
      </c>
      <c r="G10" s="26">
        <f>SUMIFS(Daily!$S:$S,Daily!$G:$G,5,Daily!$I:$I,{"수리완료"},Daily!$C:$C,"ATC")+SUMIFS(Daily!$S:$S,Daily!$G:$G,5,Daily!$I:$I,{"외주수리완료"},Daily!$C:$C,"ATC")</f>
        <v>0</v>
      </c>
      <c r="H10" s="122">
        <f>IF($R$2="K\",SUMIFS(Daily!$W:$W,Daily!$G:$G,5,Daily!$I:$I,{"수리완료"},Daily!$C:$C,"ATC")+SUMIFS(Daily!$W:$W,Daily!$G:$G,5,Daily!$I:$I,{"외주수리완료"},Daily!$C:$C,"ATC"),(SUMIFS(Daily!$W:$W,Daily!$G:$G,5,Daily!$I:$I,{"수리완료"},Daily!$C:$C,"ATC")+SUMIFS(Daily!$W:$W,Daily!$G:$G,5,Daily!$I:$I,{"외주수리완료"},Daily!$C:$C,"ATC"))/$R$3)</f>
        <v>0</v>
      </c>
      <c r="I10" s="26">
        <f>SUMIFS(Daily!$S:$S,Daily!$G:$G,5,Daily!$I:$I,{"수리완료"},Daily!$C:$C,"ATT")+SUMIFS(Daily!$S:$S,Daily!$G:$G,5,Daily!$I:$I,{"외주수리완료"},Daily!$C:$C,"ATT")</f>
        <v>0</v>
      </c>
      <c r="J10" s="122">
        <f>IF($R$2="K\",SUMIFS(Daily!$W:$W,Daily!$G:$G,5,Daily!$I:$I,{"수리완료"},Daily!$C:$C,"ATT")+SUMIFS(Daily!$W:$W,Daily!$G:$G,5,Daily!$I:$I,{"외주수리완료"},Daily!$C:$C,"ATT"),(SUMIFS(Daily!$W:$W,Daily!$G:$G,5,Daily!$I:$I,{"수리완료"},Daily!$C:$C,"ATT")+SUMIFS(Daily!$W:$W,Daily!$G:$G,5,Daily!$I:$I,{"외주수리완료"},Daily!$C:$C,"ATT"))/$R$3)</f>
        <v>0</v>
      </c>
      <c r="K10" s="26">
        <f>SUMIFS(Daily!$S:$S,Daily!$G:$G,5,Daily!$I:$I,{"수리완료"},Daily!$C:$C,"ATM")+SUMIFS(Daily!$S:$S,Daily!$G:$G,5,Daily!$I:$I,{"외주수리완료"},Daily!$C:$C,"ATM")</f>
        <v>0</v>
      </c>
      <c r="L10" s="122">
        <f>IF($R$2="K\",SUMIFS(Daily!$W:$W,Daily!$G:$G,5,Daily!$I:$I,{"수리완료"},Daily!$C:$C,"ATM")+SUMIFS(Daily!$W:$W,Daily!$G:$G,5,Daily!$I:$I,{"외주수리완료"},Daily!$C:$C,"ATM"),(SUMIFS(Daily!$W:$W,Daily!$G:$G,5,Daily!$I:$I,{"수리완료"},Daily!$C:$C,"ATM")+SUMIFS(Daily!$W:$W,Daily!$G:$G,5,Daily!$I:$I,{"외주수리완료"},Daily!$C:$C,"ATM"))/$R$3)</f>
        <v>0</v>
      </c>
      <c r="M10" s="26">
        <f>SUMIFS(Daily!$S:$S,Daily!$G:$G,5,Daily!$I:$I,{"수리완료"},Daily!$C:$C,"ATJ")+SUMIFS(Daily!$S:$S,Daily!$G:$G,5,Daily!$I:$I,{"외주수리완료"},Daily!$C:$C,"ATJ")</f>
        <v>0</v>
      </c>
      <c r="N10" s="122">
        <f>IF($R$2="K\",SUMIFS(Daily!$W:$W,Daily!$G:$G,5,Daily!$I:$I,{"수리완료"},Daily!$C:$C,"ATJ")+SUMIFS(Daily!$W:$W,Daily!$G:$G,5,Daily!$I:$I,{"외주수리완료"},Daily!$C:$C,"ATJ"),(SUMIFS(Daily!$W:$W,Daily!$G:$G,5,Daily!$I:$I,{"수리완료"},Daily!$C:$C,"ATJ")+SUMIFS(Daily!$W:$W,Daily!$G:$G,5,Daily!$I:$I,{"외주수리완료"},Daily!$C:$C,"ATJ"))/$R$3)</f>
        <v>0</v>
      </c>
      <c r="O10" s="26">
        <f>SUMIFS(Daily!$S:$S,Daily!$G:$G,5,Daily!$I:$I,{"*수리완료"},Daily!$C:$C,"ATEP")</f>
        <v>0</v>
      </c>
      <c r="P10" s="122">
        <f>IF($R$2="K\",SUMIFS(Daily!$W:$W,Daily!$G:$G,5,Daily!$I:$I,{"수리완료"},Daily!$C:$C,"ATEP")+SUMIFS(Daily!$W:$W,Daily!$G:$G,5,Daily!$I:$I,{"외주수리완료"},Daily!$C:$C,"ATEP"),(SUMIFS(Daily!$W:$W,Daily!$G:$G,5,Daily!$I:$I,{"수리완료"},Daily!$C:$C,"ATEP")+SUMIFS(Daily!$W:$W,Daily!$G:$G,5,Daily!$I:$I,{"외주수리완료"},Daily!$C:$C,"ATEP"))/$R$3)</f>
        <v>0</v>
      </c>
      <c r="Q10" s="27">
        <f t="shared" si="0"/>
        <v>0</v>
      </c>
      <c r="R10" s="124">
        <f t="shared" si="1"/>
        <v>0</v>
      </c>
      <c r="T10" s="94" t="s">
        <v>27</v>
      </c>
      <c r="U10" s="101">
        <f>COUNTIF(Daily!C:C, T10)-COUNTIFS(Daily!C:C, T10, Daily!I:I, "Other")</f>
        <v>2</v>
      </c>
      <c r="V10" s="95">
        <f>COUNTIFS(Daily!C:C, T10, Daily!I:I, "수리완료")+COUNTIFS(Daily!C:C, T10, Daily!I:I, "외주수리완료")</f>
        <v>2</v>
      </c>
      <c r="W10" s="95">
        <f>COUNTIFS(Daily!C:C, T10, Daily!I:I, "수리불가")+COUNTIFS(Daily!C:C, T10, Daily!I:I, "외주수리불가")+COUNTIFS(Daily!C:C, T10, Daily!I:I, "폐기")</f>
        <v>0</v>
      </c>
      <c r="X10" s="95">
        <v>0</v>
      </c>
      <c r="Y10" s="95">
        <f>COUNTIFS(Daily!C:C, T10, Daily!I:I, "수리중")+COUNTIFS(Daily!C:C, T10, Daily!I:I, "외주수리중")</f>
        <v>0</v>
      </c>
      <c r="Z10" s="96">
        <f>(SUMIFS(Daily!W:W, Daily!C:C, T10, Daily!I:I, "수리완료")+SUMIFS(Daily!W:W, Daily!C:C, T10, Daily!I:I, "외주수리완료"))/$Z$2</f>
        <v>1.9727272727272727</v>
      </c>
    </row>
    <row r="11" spans="2:26" ht="19.5" thickBot="1">
      <c r="B11" s="25" t="s">
        <v>61</v>
      </c>
      <c r="C11" s="26">
        <f>SUMPRODUCT(SUMIFS(Daily!$S:$S,Daily!$G:$G,"6",Daily!$C:$C,"ATK",Daily!$I:$I,"수리완료")) + SUMPRODUCT(SUMIFS(Daily!$S:$S,Daily!$G:$G,"6",Daily!$C:$C,"ATK",Daily!$I:$I,"외주수리완료"))</f>
        <v>0</v>
      </c>
      <c r="D11" s="122">
        <f>IF($R$2="K\",(SUMPRODUCT(SUMIFS(Daily!$W:$W,Daily!$G:$G,"6",Daily!$C:$C,"ATK",Daily!$I:$I,"수리완료")) + SUMPRODUCT(SUMIFS(Daily!$W:$W,Daily!$G:$G,"6",Daily!$C:$C,"ATK",Daily!$I:$I,"외주수리완료"))),(SUMPRODUCT(SUMIFS(Daily!$W:$W,Daily!$G:$G,"6",Daily!$C:$C,"ATK",Daily!$I:$I,"수리완료")) + SUMPRODUCT(SUMIFS(Daily!$W:$W,Daily!$G:$G,"6",Daily!$C:$C,"ATK",Daily!$I:$I,"외주수리완료")))/$R$3)</f>
        <v>0</v>
      </c>
      <c r="E11" s="26">
        <f>SUMIFS(Daily!$S:$S,Daily!$G:$G,6,Daily!$I:$I,{"수리완료"},Daily!$C:$C,"ATP")+SUMIFS(Daily!$S:$S,Daily!$G:$G,6,Daily!$I:$I,{"외주수리완료"},Daily!$C:$C,"ATP")</f>
        <v>0</v>
      </c>
      <c r="F11" s="122">
        <f>IF($R$2="K\",SUMIFS(Daily!$W:$W,Daily!$G:$G,6,Daily!$I:$I,{"수리완료"},Daily!$C:$C,"ATP")+SUMIFS(Daily!$W:$W,Daily!$G:$G,6,Daily!$I:$I,{"외주수리완료"},Daily!$C:$C,"ATP"),(SUMIFS(Daily!$W:$W,Daily!$G:$G,6,Daily!$I:$I,{"수리완료"},Daily!$C:$C,"ATP")+SUMIFS(Daily!$W:$W,Daily!$G:$G,6,Daily!$I:$I,{"외주수리완료"},Daily!$C:$C,"ATP"))/$R$3)</f>
        <v>0</v>
      </c>
      <c r="G11" s="26">
        <f>SUMIFS(Daily!$S:$S,Daily!$G:$G,6,Daily!$I:$I,{"수리완료"},Daily!$C:$C,"ATC")+SUMIFS(Daily!$S:$S,Daily!$G:$G,6,Daily!$I:$I,{"외주수리완료"},Daily!$C:$C,"ATC")</f>
        <v>0</v>
      </c>
      <c r="H11" s="122">
        <f>IF($R$2="K\",SUMIFS(Daily!$W:$W,Daily!$G:$G,6,Daily!$I:$I,{"수리완료"},Daily!$C:$C,"ATC")+SUMIFS(Daily!$W:$W,Daily!$G:$G,6,Daily!$I:$I,{"외주수리완료"},Daily!$C:$C,"ATC"),(SUMIFS(Daily!$W:$W,Daily!$G:$G,6,Daily!$I:$I,{"수리완료"},Daily!$C:$C,"ATC")+SUMIFS(Daily!$W:$W,Daily!$G:$G,6,Daily!$I:$I,{"외주수리완료"},Daily!$C:$C,"ATC"))/$R$3)</f>
        <v>0</v>
      </c>
      <c r="I11" s="26">
        <f>SUMIFS(Daily!$S:$S,Daily!$G:$G,6,Daily!$I:$I,{"수리완료"},Daily!$C:$C,"ATT")+SUMIFS(Daily!$S:$S,Daily!$G:$G,6,Daily!$I:$I,{"외주수리완료"},Daily!$C:$C,"ATT")</f>
        <v>0</v>
      </c>
      <c r="J11" s="122">
        <f>IF($R$2="K\",SUMIFS(Daily!$W:$W,Daily!$G:$G,6,Daily!$I:$I,{"수리완료"},Daily!$C:$C,"ATT")+SUMIFS(Daily!$W:$W,Daily!$G:$G,6,Daily!$I:$I,{"외주수리완료"},Daily!$C:$C,"ATT"),(SUMIFS(Daily!$W:$W,Daily!$G:$G,6,Daily!$I:$I,{"수리완료"},Daily!$C:$C,"ATT")+SUMIFS(Daily!$W:$W,Daily!$G:$G,6,Daily!$I:$I,{"외주수리완료"},Daily!$C:$C,"ATT"))/$R$3)</f>
        <v>0</v>
      </c>
      <c r="K11" s="26">
        <f>SUMIFS(Daily!$S:$S,Daily!$G:$G,6,Daily!$I:$I,{"수리완료"},Daily!$C:$C,"ATM")+SUMIFS(Daily!$S:$S,Daily!$G:$G,6,Daily!$I:$I,{"외주수리완료"},Daily!$C:$C,"ATM")</f>
        <v>0</v>
      </c>
      <c r="L11" s="122">
        <f>IF($R$2="K\",SUMIFS(Daily!$W:$W,Daily!$G:$G,6,Daily!$I:$I,{"수리완료"},Daily!$C:$C,"ATM")+SUMIFS(Daily!$W:$W,Daily!$G:$G,6,Daily!$I:$I,{"외주수리완료"},Daily!$C:$C,"ATM"),(SUMIFS(Daily!$W:$W,Daily!$G:$G,6,Daily!$I:$I,{"수리완료"},Daily!$C:$C,"ATM")+SUMIFS(Daily!$W:$W,Daily!$G:$G,6,Daily!$I:$I,{"외주수리완료"},Daily!$C:$C,"ATM"))/$R$3)</f>
        <v>0</v>
      </c>
      <c r="M11" s="26">
        <f>SUMIFS(Daily!$S:$S,Daily!$G:$G,6,Daily!$I:$I,{"수리완료"},Daily!$C:$C,"ATJ")+SUMIFS(Daily!$S:$S,Daily!$G:$G,6,Daily!$I:$I,{"외주수리완료"},Daily!$C:$C,"ATJ")</f>
        <v>0</v>
      </c>
      <c r="N11" s="122">
        <f>IF($R$2="K\",SUMIFS(Daily!$W:$W,Daily!$G:$G,6,Daily!$I:$I,{"수리완료"},Daily!$C:$C,"ATJ")+SUMIFS(Daily!$W:$W,Daily!$G:$G,6,Daily!$I:$I,{"외주수리완료"},Daily!$C:$C,"ATJ"),(SUMIFS(Daily!$W:$W,Daily!$G:$G,6,Daily!$I:$I,{"수리완료"},Daily!$C:$C,"ATJ")+SUMIFS(Daily!$W:$W,Daily!$G:$G,6,Daily!$I:$I,{"외주수리완료"},Daily!$C:$C,"ATJ"))/$R$3)</f>
        <v>0</v>
      </c>
      <c r="O11" s="26">
        <f>SUMIFS(Daily!$S:$S,Daily!$G:$G,6,Daily!$I:$I,{"*수리완료"},Daily!$C:$C,"ATEP")</f>
        <v>0</v>
      </c>
      <c r="P11" s="122">
        <f>IF($R$2="K\",SUMIFS(Daily!$W:$W,Daily!$G:$G,6,Daily!$I:$I,{"수리완료"},Daily!$C:$C,"ATEP")+SUMIFS(Daily!$W:$W,Daily!$G:$G,6,Daily!$I:$I,{"외주수리완료"},Daily!$C:$C,"ATEP"),(SUMIFS(Daily!$W:$W,Daily!$G:$G,6,Daily!$I:$I,{"수리완료"},Daily!$C:$C,"ATEP")+SUMIFS(Daily!$W:$W,Daily!$G:$G,6,Daily!$I:$I,{"외주수리완료"},Daily!$C:$C,"ATEP"))/$R$3)</f>
        <v>0</v>
      </c>
      <c r="Q11" s="27">
        <f t="shared" si="0"/>
        <v>0</v>
      </c>
      <c r="R11" s="124">
        <f t="shared" si="1"/>
        <v>0</v>
      </c>
      <c r="T11" s="97" t="s">
        <v>104</v>
      </c>
      <c r="U11" s="102">
        <f>COUNTIF(Daily!C:C, T11)-COUNTIFS(Daily!C:C, T11, Daily!I:I, "Other")</f>
        <v>0</v>
      </c>
      <c r="V11" s="98">
        <f>COUNTIFS(Daily!C:C, T11, Daily!I:I, "수리완료")+COUNTIFS(Daily!C:C, T11, Daily!I:I, "외주수리완료")</f>
        <v>0</v>
      </c>
      <c r="W11" s="98">
        <f>COUNTIFS(Daily!C:C, T11, Daily!I:I, "수리불가")+COUNTIFS(Daily!C:C, T11, Daily!I:I, "외주수리불가")+COUNTIFS(Daily!C:C, T11, Daily!I:I, "폐기")</f>
        <v>0</v>
      </c>
      <c r="X11" s="99">
        <v>0</v>
      </c>
      <c r="Y11" s="98">
        <f>COUNTIFS(Daily!C:C, T11, Daily!I:I, "수리중")+COUNTIFS(Daily!C:C, T11, Daily!I:I, "외주수리중")</f>
        <v>0</v>
      </c>
      <c r="Z11" s="100">
        <f>(SUMIFS(Daily!W:W, Daily!C:C, T11, Daily!I:I, "수리완료")+SUMIFS(Daily!W:W, Daily!C:C, T11, Daily!I:I, "외주수리완료"))/$Z$2</f>
        <v>0</v>
      </c>
    </row>
    <row r="12" spans="2:26" ht="19.5" thickBot="1">
      <c r="B12" s="25" t="s">
        <v>46</v>
      </c>
      <c r="C12" s="26">
        <f>SUMPRODUCT(SUMIFS(Daily!$S:$S,Daily!$G:$G,"7",Daily!$C:$C,"ATK",Daily!$I:$I,"수리완료")) + SUMPRODUCT(SUMIFS(Daily!$S:$S,Daily!$G:$G,"7",Daily!$C:$C,"ATK",Daily!$I:$I,"외주수리완료"))</f>
        <v>0</v>
      </c>
      <c r="D12" s="122">
        <f>IF($R$2="K\",(SUMPRODUCT(SUMIFS(Daily!$W:$W,Daily!$G:$G,"7",Daily!$C:$C,"ATK",Daily!$I:$I,"수리완료")) + SUMPRODUCT(SUMIFS(Daily!$W:$W,Daily!$G:$G,"7",Daily!$C:$C,"ATK",Daily!$I:$I,"외주수리완료"))),(SUMPRODUCT(SUMIFS(Daily!$W:$W,Daily!$G:$G,"7",Daily!$C:$C,"ATK",Daily!$I:$I,"수리완료")) + SUMPRODUCT(SUMIFS(Daily!$W:$W,Daily!$G:$G,"7",Daily!$C:$C,"ATK",Daily!$I:$I,"외주수리완료")))/$R$3)</f>
        <v>0</v>
      </c>
      <c r="E12" s="26">
        <f>SUMIFS(Daily!$S:$S,Daily!$G:$G,7,Daily!$I:$I,{"수리완료"},Daily!$C:$C,"ATP")+SUMIFS(Daily!$S:$S,Daily!$G:$G,7,Daily!$I:$I,{"외주수리완료"},Daily!$C:$C,"ATP")</f>
        <v>0</v>
      </c>
      <c r="F12" s="122">
        <f>IF($R$2="K\",SUMIFS(Daily!$W:$W,Daily!$G:$G,7,Daily!$I:$I,{"수리완료"},Daily!$C:$C,"ATP")+SUMIFS(Daily!$W:$W,Daily!$G:$G,7,Daily!$I:$I,{"외주수리완료"},Daily!$C:$C,"ATP"),(SUMIFS(Daily!$W:$W,Daily!$G:$G,7,Daily!$I:$I,{"수리완료"},Daily!$C:$C,"ATP")+SUMIFS(Daily!$W:$W,Daily!$G:$G,7,Daily!$I:$I,{"외주수리완료"},Daily!$C:$C,"ATP"))/$R$3)</f>
        <v>0</v>
      </c>
      <c r="G12" s="26">
        <f>SUMIFS(Daily!$S:$S,Daily!$G:$G,7,Daily!$I:$I,{"수리완료"},Daily!$C:$C,"ATC")+SUMIFS(Daily!$S:$S,Daily!$G:$G,7,Daily!$I:$I,{"외주수리완료"},Daily!$C:$C,"ATC")</f>
        <v>0</v>
      </c>
      <c r="H12" s="122">
        <f>IF($R$2="K\",SUMIFS(Daily!$W:$W,Daily!$G:$G,7,Daily!$I:$I,{"수리완료"},Daily!$C:$C,"ATC")+SUMIFS(Daily!$W:$W,Daily!$G:$G,7,Daily!$I:$I,{"외주수리완료"},Daily!$C:$C,"ATC"),(SUMIFS(Daily!$W:$W,Daily!$G:$G,7,Daily!$I:$I,{"수리완료"},Daily!$C:$C,"ATC")+SUMIFS(Daily!$W:$W,Daily!$G:$G,7,Daily!$I:$I,{"외주수리완료"},Daily!$C:$C,"ATC"))/$R$3)</f>
        <v>0</v>
      </c>
      <c r="I12" s="26">
        <f>SUMIFS(Daily!$S:$S,Daily!$G:$G,7,Daily!$I:$I,{"수리완료"},Daily!$C:$C,"ATT")+SUMIFS(Daily!$S:$S,Daily!$G:$G,7,Daily!$I:$I,{"외주수리완료"},Daily!$C:$C,"ATT")</f>
        <v>0</v>
      </c>
      <c r="J12" s="122">
        <f>IF($R$2="K\",SUMIFS(Daily!$W:$W,Daily!$G:$G,7,Daily!$I:$I,{"수리완료"},Daily!$C:$C,"ATT")+SUMIFS(Daily!$W:$W,Daily!$G:$G,7,Daily!$I:$I,{"외주수리완료"},Daily!$C:$C,"ATT"),(SUMIFS(Daily!$W:$W,Daily!$G:$G,7,Daily!$I:$I,{"수리완료"},Daily!$C:$C,"ATT")+SUMIFS(Daily!$W:$W,Daily!$G:$G,7,Daily!$I:$I,{"외주수리완료"},Daily!$C:$C,"ATT"))/$R$3)</f>
        <v>0</v>
      </c>
      <c r="K12" s="26">
        <f>SUMIFS(Daily!$S:$S,Daily!$G:$G,7,Daily!$I:$I,{"수리완료"},Daily!$C:$C,"ATM")+SUMIFS(Daily!$S:$S,Daily!$G:$G,7,Daily!$I:$I,{"외주수리완료"},Daily!$C:$C,"ATM")</f>
        <v>0</v>
      </c>
      <c r="L12" s="122">
        <f>IF($R$2="K\",SUMIFS(Daily!$W:$W,Daily!$G:$G,7,Daily!$I:$I,{"수리완료"},Daily!$C:$C,"ATM")+SUMIFS(Daily!$W:$W,Daily!$G:$G,7,Daily!$I:$I,{"외주수리완료"},Daily!$C:$C,"ATM"),(SUMIFS(Daily!$W:$W,Daily!$G:$G,7,Daily!$I:$I,{"수리완료"},Daily!$C:$C,"ATM")+SUMIFS(Daily!$W:$W,Daily!$G:$G,7,Daily!$I:$I,{"외주수리완료"},Daily!$C:$C,"ATM"))/$R$3)</f>
        <v>0</v>
      </c>
      <c r="M12" s="26">
        <f>SUMIFS(Daily!$S:$S,Daily!$G:$G,7,Daily!$I:$I,{"수리완료"},Daily!$C:$C,"ATJ")+SUMIFS(Daily!$S:$S,Daily!$G:$G,7,Daily!$I:$I,{"외주수리완료"},Daily!$C:$C,"ATJ")</f>
        <v>0</v>
      </c>
      <c r="N12" s="122">
        <f>IF($R$2="K\",SUMIFS(Daily!$W:$W,Daily!$G:$G,7,Daily!$I:$I,{"수리완료"},Daily!$C:$C,"ATJ")+SUMIFS(Daily!$W:$W,Daily!$G:$G,7,Daily!$I:$I,{"외주수리완료"},Daily!$C:$C,"ATJ"),(SUMIFS(Daily!$W:$W,Daily!$G:$G,7,Daily!$I:$I,{"수리완료"},Daily!$C:$C,"ATJ")+SUMIFS(Daily!$W:$W,Daily!$G:$G,7,Daily!$I:$I,{"외주수리완료"},Daily!$C:$C,"ATJ"))/$R$3)</f>
        <v>0</v>
      </c>
      <c r="O12" s="26">
        <f>SUMIFS(Daily!$S:$S,Daily!$G:$G,7,Daily!$I:$I,{"*수리완료"},Daily!$C:$C,"ATEP")</f>
        <v>0</v>
      </c>
      <c r="P12" s="122">
        <f>IF($R$2="K\",SUMIFS(Daily!$W:$W,Daily!$G:$G,7,Daily!$I:$I,{"수리완료"},Daily!$C:$C,"ATEP")+SUMIFS(Daily!$W:$W,Daily!$G:$G,7,Daily!$I:$I,{"외주수리완료"},Daily!$C:$C,"ATEP"),(SUMIFS(Daily!$W:$W,Daily!$G:$G,7,Daily!$I:$I,{"수리완료"},Daily!$C:$C,"ATEP")+SUMIFS(Daily!$W:$W,Daily!$G:$G,7,Daily!$I:$I,{"외주수리완료"},Daily!$C:$C,"ATEP"))/$R$3)</f>
        <v>0</v>
      </c>
      <c r="Q12" s="27">
        <f t="shared" si="0"/>
        <v>0</v>
      </c>
      <c r="R12" s="124">
        <f t="shared" si="1"/>
        <v>0</v>
      </c>
      <c r="T12" s="105" t="s">
        <v>135</v>
      </c>
      <c r="U12" s="106">
        <f>COUNTIF(Daily!C:C, T12)-COUNTIFS(Daily!C:C, T12, Daily!I:I, "Other")</f>
        <v>0</v>
      </c>
      <c r="V12" s="107">
        <f>COUNTIFS(Daily!C:C, T12, Daily!I:I, "수리완료")+COUNTIFS(Daily!C:C, T12, Daily!I:I, "외주수리완료")</f>
        <v>0</v>
      </c>
      <c r="W12" s="107">
        <f>COUNTIFS(Daily!C:C, T12, Daily!I:I, "수리불가")+COUNTIFS(Daily!C:C, T12, Daily!I:I, "외주수리불가")+COUNTIFS(Daily!C:C, T12, Daily!I:I, "폐기")</f>
        <v>0</v>
      </c>
      <c r="X12" s="107">
        <v>0</v>
      </c>
      <c r="Y12" s="107">
        <f>COUNTIFS(Daily!C:C, T12, Daily!I:I, "수리중")+COUNTIFS(Daily!C:C, T12, Daily!I:I, "외주수리중")</f>
        <v>0</v>
      </c>
      <c r="Z12" s="108">
        <f>(SUMIFS(Daily!W:W, Daily!C:C, T12, Daily!I:I, "수리완료")+SUMIFS(Daily!W:W, Daily!C:C, T12, Daily!I:I, "외주수리완료"))/$Z$2</f>
        <v>0</v>
      </c>
    </row>
    <row r="13" spans="2:26" ht="19.5" thickBot="1">
      <c r="B13" s="25" t="s">
        <v>62</v>
      </c>
      <c r="C13" s="26">
        <f>SUMPRODUCT(SUMIFS(Daily!$S:$S,Daily!$G:$G,"8",Daily!$C:$C,"ATK",Daily!$I:$I,"수리완료")) + SUMPRODUCT(SUMIFS(Daily!$S:$S,Daily!$G:$G,"8",Daily!$C:$C,"ATK",Daily!$I:$I,"외주수리완료"))</f>
        <v>0</v>
      </c>
      <c r="D13" s="122">
        <f>IF($R$2="K\",(SUMPRODUCT(SUMIFS(Daily!$W:$W,Daily!$G:$G,"8",Daily!$C:$C,"ATK",Daily!$I:$I,"수리완료")) + SUMPRODUCT(SUMIFS(Daily!$W:$W,Daily!$G:$G,"8",Daily!$C:$C,"ATK",Daily!$I:$I,"외주수리완료"))),(SUMPRODUCT(SUMIFS(Daily!$W:$W,Daily!$G:$G,"8",Daily!$C:$C,"ATK",Daily!$I:$I,"수리완료")) + SUMPRODUCT(SUMIFS(Daily!$W:$W,Daily!$G:$G,"8",Daily!$C:$C,"ATK",Daily!$I:$I,"외주수리완료")))/$R$3)</f>
        <v>0</v>
      </c>
      <c r="E13" s="26">
        <f>SUMIFS(Daily!$S:$S,Daily!$G:$G,8,Daily!$I:$I,{"수리완료"},Daily!$C:$C,"ATP")+SUMIFS(Daily!$S:$S,Daily!$G:$G,8,Daily!$I:$I,{"외주수리완료"},Daily!$C:$C,"ATP")</f>
        <v>0</v>
      </c>
      <c r="F13" s="122">
        <f>IF($R$2="K\",SUMIFS(Daily!$W:$W,Daily!$G:$G,8,Daily!$I:$I,{"수리완료"},Daily!$C:$C,"ATP")+SUMIFS(Daily!$W:$W,Daily!$G:$G,8,Daily!$I:$I,{"외주수리완료"},Daily!$C:$C,"ATP"),(SUMIFS(Daily!$W:$W,Daily!$G:$G,8,Daily!$I:$I,{"수리완료"},Daily!$C:$C,"ATP")+SUMIFS(Daily!$W:$W,Daily!$G:$G,8,Daily!$I:$I,{"외주수리완료"},Daily!$C:$C,"ATP"))/$R$3)</f>
        <v>0</v>
      </c>
      <c r="G13" s="26">
        <f>SUMIFS(Daily!$S:$S,Daily!$G:$G,8,Daily!$I:$I,{"수리완료"},Daily!$C:$C,"ATC")+SUMIFS(Daily!$S:$S,Daily!$G:$G,8,Daily!$I:$I,{"외주수리완료"},Daily!$C:$C,"ATC")</f>
        <v>0</v>
      </c>
      <c r="H13" s="122">
        <f>IF($R$2="K\",SUMIFS(Daily!$W:$W,Daily!$G:$G,8,Daily!$I:$I,{"수리완료"},Daily!$C:$C,"ATC")+SUMIFS(Daily!$W:$W,Daily!$G:$G,8,Daily!$I:$I,{"외주수리완료"},Daily!$C:$C,"ATC"),(SUMIFS(Daily!$W:$W,Daily!$G:$G,8,Daily!$I:$I,{"수리완료"},Daily!$C:$C,"ATC")+SUMIFS(Daily!$W:$W,Daily!$G:$G,8,Daily!$I:$I,{"외주수리완료"},Daily!$C:$C,"ATC"))/$R$3)</f>
        <v>0</v>
      </c>
      <c r="I13" s="26">
        <f>SUMIFS(Daily!$S:$S,Daily!$G:$G,8,Daily!$I:$I,{"수리완료"},Daily!$C:$C,"ATT")+SUMIFS(Daily!$S:$S,Daily!$G:$G,8,Daily!$I:$I,{"외주수리완료"},Daily!$C:$C,"ATT")</f>
        <v>0</v>
      </c>
      <c r="J13" s="122">
        <f>IF($R$2="K\",SUMIFS(Daily!$W:$W,Daily!$G:$G,8,Daily!$I:$I,{"수리완료"},Daily!$C:$C,"ATT")+SUMIFS(Daily!$W:$W,Daily!$G:$G,8,Daily!$I:$I,{"외주수리완료"},Daily!$C:$C,"ATT"),(SUMIFS(Daily!$W:$W,Daily!$G:$G,8,Daily!$I:$I,{"수리완료"},Daily!$C:$C,"ATT")+SUMIFS(Daily!$W:$W,Daily!$G:$G,8,Daily!$I:$I,{"외주수리완료"},Daily!$C:$C,"ATT"))/$R$3)</f>
        <v>0</v>
      </c>
      <c r="K13" s="26">
        <f>SUMIFS(Daily!$S:$S,Daily!$G:$G,8,Daily!$I:$I,{"수리완료"},Daily!$C:$C,"ATM")+SUMIFS(Daily!$S:$S,Daily!$G:$G,8,Daily!$I:$I,{"외주수리완료"},Daily!$C:$C,"ATM")</f>
        <v>0</v>
      </c>
      <c r="L13" s="122">
        <f>IF($R$2="K\",SUMIFS(Daily!$W:$W,Daily!$G:$G,8,Daily!$I:$I,{"수리완료"},Daily!$C:$C,"ATM")+SUMIFS(Daily!$W:$W,Daily!$G:$G,8,Daily!$I:$I,{"외주수리완료"},Daily!$C:$C,"ATM"),(SUMIFS(Daily!$W:$W,Daily!$G:$G,8,Daily!$I:$I,{"수리완료"},Daily!$C:$C,"ATM")+SUMIFS(Daily!$W:$W,Daily!$G:$G,8,Daily!$I:$I,{"외주수리완료"},Daily!$C:$C,"ATM"))/$R$3)</f>
        <v>0</v>
      </c>
      <c r="M13" s="26">
        <f>SUMIFS(Daily!$S:$S,Daily!$G:$G,8,Daily!$I:$I,{"수리완료"},Daily!$C:$C,"ATJ")+SUMIFS(Daily!$S:$S,Daily!$G:$G,8,Daily!$I:$I,{"외주수리완료"},Daily!$C:$C,"ATJ")</f>
        <v>0</v>
      </c>
      <c r="N13" s="122">
        <f>IF($R$2="K\",SUMIFS(Daily!$W:$W,Daily!$G:$G,8,Daily!$I:$I,{"수리완료"},Daily!$C:$C,"ATJ")+SUMIFS(Daily!$W:$W,Daily!$G:$G,8,Daily!$I:$I,{"외주수리완료"},Daily!$C:$C,"ATJ"),(SUMIFS(Daily!$W:$W,Daily!$G:$G,8,Daily!$I:$I,{"수리완료"},Daily!$C:$C,"ATJ")+SUMIFS(Daily!$W:$W,Daily!$G:$G,8,Daily!$I:$I,{"외주수리완료"},Daily!$C:$C,"ATJ"))/$R$3)</f>
        <v>0</v>
      </c>
      <c r="O13" s="26">
        <f>SUMIFS(Daily!$S:$S,Daily!$G:$G,8,Daily!$I:$I,{"*수리완료"},Daily!$C:$C,"ATEP")</f>
        <v>0</v>
      </c>
      <c r="P13" s="122">
        <f>IF($R$2="K\",SUMIFS(Daily!$W:$W,Daily!$G:$G,8,Daily!$I:$I,{"수리완료"},Daily!$C:$C,"ATEP")+SUMIFS(Daily!$W:$W,Daily!$G:$G,8,Daily!$I:$I,{"외주수리완료"},Daily!$C:$C,"ATEP"),(SUMIFS(Daily!$W:$W,Daily!$G:$G,8,Daily!$I:$I,{"수리완료"},Daily!$C:$C,"ATEP")+SUMIFS(Daily!$W:$W,Daily!$G:$G,8,Daily!$I:$I,{"외주수리완료"},Daily!$C:$C,"ATEP"))/$R$3)</f>
        <v>0</v>
      </c>
      <c r="Q13" s="27">
        <f t="shared" si="0"/>
        <v>0</v>
      </c>
      <c r="R13" s="124">
        <f t="shared" si="1"/>
        <v>0</v>
      </c>
      <c r="T13" s="109" t="s">
        <v>75</v>
      </c>
      <c r="U13" s="110">
        <f t="shared" ref="U13:Z13" si="2">SUM(U6:U12)</f>
        <v>317</v>
      </c>
      <c r="V13" s="111">
        <f t="shared" si="2"/>
        <v>278</v>
      </c>
      <c r="W13" s="111">
        <f t="shared" si="2"/>
        <v>23</v>
      </c>
      <c r="X13" s="111">
        <f t="shared" si="2"/>
        <v>0</v>
      </c>
      <c r="Y13" s="111">
        <f t="shared" si="2"/>
        <v>16</v>
      </c>
      <c r="Z13" s="190">
        <f t="shared" si="2"/>
        <v>376.78727272727275</v>
      </c>
    </row>
    <row r="14" spans="2:26" ht="17.25" thickBot="1">
      <c r="B14" s="25" t="s">
        <v>63</v>
      </c>
      <c r="C14" s="26">
        <f>SUMPRODUCT(SUMIFS(Daily!$S:$S,Daily!$G:$G,"9",Daily!$C:$C,"ATK",Daily!$I:$I,"수리완료")) + SUMPRODUCT(SUMIFS(Daily!$S:$S,Daily!$G:$G,"9",Daily!$C:$C,"ATK",Daily!$I:$I,"외주수리완료"))</f>
        <v>0</v>
      </c>
      <c r="D14" s="122">
        <f>IF($R$2="K\",(SUMPRODUCT(SUMIFS(Daily!$W:$W,Daily!$G:$G,"9",Daily!$C:$C,"ATK",Daily!$I:$I,"수리완료")) + SUMPRODUCT(SUMIFS(Daily!$W:$W,Daily!$G:$G,"9",Daily!$C:$C,"ATK",Daily!$I:$I,"외주수리완료"))),(SUMPRODUCT(SUMIFS(Daily!$W:$W,Daily!$G:$G,"9",Daily!$C:$C,"ATK",Daily!$I:$I,"수리완료")) + SUMPRODUCT(SUMIFS(Daily!$W:$W,Daily!$G:$G,"9",Daily!$C:$C,"ATK",Daily!$I:$I,"외주수리완료")))/$R$3)</f>
        <v>0</v>
      </c>
      <c r="E14" s="26">
        <f>SUMIFS(Daily!$S:$S,Daily!$G:$G,9,Daily!$I:$I,{"수리완료"},Daily!$C:$C,"ATP")+SUMIFS(Daily!$S:$S,Daily!$G:$G,9,Daily!$I:$I,{"외주수리완료"},Daily!$C:$C,"ATP")</f>
        <v>0</v>
      </c>
      <c r="F14" s="122">
        <f>IF($R$2="K\",SUMIFS(Daily!$W:$W,Daily!$G:$G,9,Daily!$I:$I,{"수리완료"},Daily!$C:$C,"ATP")+SUMIFS(Daily!$W:$W,Daily!$G:$G,9,Daily!$I:$I,{"외주수리완료"},Daily!$C:$C,"ATP"),(SUMIFS(Daily!$W:$W,Daily!$G:$G,9,Daily!$I:$I,{"수리완료"},Daily!$C:$C,"ATP")+SUMIFS(Daily!$W:$W,Daily!$G:$G,9,Daily!$I:$I,{"외주수리완료"},Daily!$C:$C,"ATP"))/$R$3)</f>
        <v>0</v>
      </c>
      <c r="G14" s="26">
        <f>SUMIFS(Daily!$S:$S,Daily!$G:$G,9,Daily!$I:$I,{"수리완료"},Daily!$C:$C,"ATC")+SUMIFS(Daily!$S:$S,Daily!$G:$G,9,Daily!$I:$I,{"외주수리완료"},Daily!$C:$C,"ATC")</f>
        <v>0</v>
      </c>
      <c r="H14" s="122">
        <f>IF($R$2="K\",SUMIFS(Daily!$W:$W,Daily!$G:$G,9,Daily!$I:$I,{"수리완료"},Daily!$C:$C,"ATC")+SUMIFS(Daily!$W:$W,Daily!$G:$G,9,Daily!$I:$I,{"외주수리완료"},Daily!$C:$C,"ATC"),(SUMIFS(Daily!$W:$W,Daily!$G:$G,9,Daily!$I:$I,{"수리완료"},Daily!$C:$C,"ATC")+SUMIFS(Daily!$W:$W,Daily!$G:$G,9,Daily!$I:$I,{"외주수리완료"},Daily!$C:$C,"ATC"))/$R$3)</f>
        <v>0</v>
      </c>
      <c r="I14" s="26">
        <f>SUMIFS(Daily!$S:$S,Daily!$G:$G,9,Daily!$I:$I,{"수리완료"},Daily!$C:$C,"ATT")+SUMIFS(Daily!$S:$S,Daily!$G:$G,9,Daily!$I:$I,{"외주수리완료"},Daily!$C:$C,"ATT")</f>
        <v>0</v>
      </c>
      <c r="J14" s="122">
        <f>IF($R$2="K\",SUMIFS(Daily!$W:$W,Daily!$G:$G,9,Daily!$I:$I,{"수리완료"},Daily!$C:$C,"ATT")+SUMIFS(Daily!$W:$W,Daily!$G:$G,9,Daily!$I:$I,{"외주수리완료"},Daily!$C:$C,"ATT"),(SUMIFS(Daily!$W:$W,Daily!$G:$G,9,Daily!$I:$I,{"수리완료"},Daily!$C:$C,"ATT")+SUMIFS(Daily!$W:$W,Daily!$G:$G,9,Daily!$I:$I,{"외주수리완료"},Daily!$C:$C,"ATT"))/$R$3)</f>
        <v>0</v>
      </c>
      <c r="K14" s="26">
        <f>SUMIFS(Daily!$S:$S,Daily!$G:$G,9,Daily!$I:$I,{"수리완료"},Daily!$C:$C,"ATM")+SUMIFS(Daily!$S:$S,Daily!$G:$G,9,Daily!$I:$I,{"외주수리완료"},Daily!$C:$C,"ATM")</f>
        <v>0</v>
      </c>
      <c r="L14" s="122">
        <f>IF($R$2="K\",SUMIFS(Daily!$W:$W,Daily!$G:$G,9,Daily!$I:$I,{"수리완료"},Daily!$C:$C,"ATM")+SUMIFS(Daily!$W:$W,Daily!$G:$G,9,Daily!$I:$I,{"외주수리완료"},Daily!$C:$C,"ATM"),(SUMIFS(Daily!$W:$W,Daily!$G:$G,9,Daily!$I:$I,{"수리완료"},Daily!$C:$C,"ATM")+SUMIFS(Daily!$W:$W,Daily!$G:$G,9,Daily!$I:$I,{"외주수리완료"},Daily!$C:$C,"ATM"))/$R$3)</f>
        <v>0</v>
      </c>
      <c r="M14" s="26">
        <f>SUMIFS(Daily!$S:$S,Daily!$G:$G,9,Daily!$I:$I,{"수리완료"},Daily!$C:$C,"ATJ")+SUMIFS(Daily!$S:$S,Daily!$G:$G,9,Daily!$I:$I,{"외주수리완료"},Daily!$C:$C,"ATJ")</f>
        <v>0</v>
      </c>
      <c r="N14" s="122">
        <f>IF($R$2="K\",SUMIFS(Daily!$W:$W,Daily!$G:$G,9,Daily!$I:$I,{"수리완료"},Daily!$C:$C,"ATJ")+SUMIFS(Daily!$W:$W,Daily!$G:$G,9,Daily!$I:$I,{"외주수리완료"},Daily!$C:$C,"ATJ"),(SUMIFS(Daily!$W:$W,Daily!$G:$G,9,Daily!$I:$I,{"수리완료"},Daily!$C:$C,"ATJ")+SUMIFS(Daily!$W:$W,Daily!$G:$G,9,Daily!$I:$I,{"외주수리완료"},Daily!$C:$C,"ATJ"))/$R$3)</f>
        <v>0</v>
      </c>
      <c r="O14" s="26">
        <f>SUMIFS(Daily!$S:$S,Daily!$G:$G,9,Daily!$I:$I,{"*수리완료"},Daily!$C:$C,"ATEP")</f>
        <v>0</v>
      </c>
      <c r="P14" s="122">
        <f>IF($R$2="K\",SUMIFS(Daily!$W:$W,Daily!$G:$G,9,Daily!$I:$I,{"수리완료"},Daily!$C:$C,"ATEP")+SUMIFS(Daily!$W:$W,Daily!$G:$G,9,Daily!$I:$I,{"외주수리완료"},Daily!$C:$C,"ATEP"),(SUMIFS(Daily!$W:$W,Daily!$G:$G,9,Daily!$I:$I,{"수리완료"},Daily!$C:$C,"ATEP")+SUMIFS(Daily!$W:$W,Daily!$G:$G,9,Daily!$I:$I,{"외주수리완료"},Daily!$C:$C,"ATEP"))/$R$3)</f>
        <v>0</v>
      </c>
      <c r="Q14" s="27">
        <f t="shared" si="0"/>
        <v>0</v>
      </c>
      <c r="R14" s="124">
        <f t="shared" si="1"/>
        <v>0</v>
      </c>
      <c r="W14" s="103"/>
    </row>
    <row r="15" spans="2:26" ht="17.25" thickBot="1">
      <c r="B15" s="25" t="s">
        <v>64</v>
      </c>
      <c r="C15" s="26">
        <f>SUMPRODUCT(SUMIFS(Daily!$S:$S,Daily!$G:$G,"10",Daily!$C:$C,"ATK",Daily!$I:$I,"수리완료")) + SUMPRODUCT(SUMIFS(Daily!$S:$S,Daily!$G:$G,"10",Daily!$C:$C,"ATK",Daily!$I:$I,"외주수리완료"))</f>
        <v>0</v>
      </c>
      <c r="D15" s="122">
        <f>IF($R$2="K\",(SUMPRODUCT(SUMIFS(Daily!$W:$W,Daily!$G:$G,"10",Daily!$C:$C,"ATK",Daily!$I:$I,"수리완료")) + SUMPRODUCT(SUMIFS(Daily!$W:$W,Daily!$G:$G,"10",Daily!$C:$C,"ATK",Daily!$I:$I,"외주수리완료"))),(SUMPRODUCT(SUMIFS(Daily!$W:$W,Daily!$G:$G,"10",Daily!$C:$C,"ATK",Daily!$I:$I,"수리완료")) + SUMPRODUCT(SUMIFS(Daily!$W:$W,Daily!$G:$G,"10",Daily!$C:$C,"ATK",Daily!$I:$I,"외주수리완료")))/$R$3)</f>
        <v>0</v>
      </c>
      <c r="E15" s="26">
        <f>SUMIFS(Daily!$S:$S,Daily!$G:$G,10,Daily!$I:$I,{"수리완료"},Daily!$C:$C,"ATP")+SUMIFS(Daily!$S:$S,Daily!$G:$G,10,Daily!$I:$I,{"외주수리완료"},Daily!$C:$C,"ATP")</f>
        <v>0</v>
      </c>
      <c r="F15" s="122">
        <f>IF($R$2="K\",SUMIFS(Daily!$W:$W,Daily!$G:$G,10,Daily!$I:$I,{"수리완료"},Daily!$C:$C,"ATP")+SUMIFS(Daily!$W:$W,Daily!$G:$G,10,Daily!$I:$I,{"외주수리완료"},Daily!$C:$C,"ATP"),(SUMIFS(Daily!$W:$W,Daily!$G:$G,10,Daily!$I:$I,{"수리완료"},Daily!$C:$C,"ATP")+SUMIFS(Daily!$W:$W,Daily!$G:$G,10,Daily!$I:$I,{"외주수리완료"},Daily!$C:$C,"ATP"))/$R$3)</f>
        <v>0</v>
      </c>
      <c r="G15" s="26">
        <f>SUMIFS(Daily!$S:$S,Daily!$G:$G,10,Daily!$I:$I,{"수리완료"},Daily!$C:$C,"ATC")+SUMIFS(Daily!$S:$S,Daily!$G:$G,10,Daily!$I:$I,{"외주수리완료"},Daily!$C:$C,"ATC")</f>
        <v>0</v>
      </c>
      <c r="H15" s="122">
        <f>IF($R$2="K\",SUMIFS(Daily!$W:$W,Daily!$G:$G,10,Daily!$I:$I,{"수리완료"},Daily!$C:$C,"ATC")+SUMIFS(Daily!$W:$W,Daily!$G:$G,10,Daily!$I:$I,{"외주수리완료"},Daily!$C:$C,"ATC"),(SUMIFS(Daily!$W:$W,Daily!$G:$G,10,Daily!$I:$I,{"수리완료"},Daily!$C:$C,"ATC")+SUMIFS(Daily!$W:$W,Daily!$G:$G,10,Daily!$I:$I,{"외주수리완료"},Daily!$C:$C,"ATC"))/$R$3)</f>
        <v>0</v>
      </c>
      <c r="I15" s="26">
        <f>SUMIFS(Daily!$S:$S,Daily!$G:$G,10,Daily!$I:$I,{"수리완료"},Daily!$C:$C,"ATT")+SUMIFS(Daily!$S:$S,Daily!$G:$G,10,Daily!$I:$I,{"외주수리완료"},Daily!$C:$C,"ATT")</f>
        <v>0</v>
      </c>
      <c r="J15" s="122">
        <f>IF($R$2="K\",SUMIFS(Daily!$W:$W,Daily!$G:$G,10,Daily!$I:$I,{"수리완료"},Daily!$C:$C,"ATT")+SUMIFS(Daily!$W:$W,Daily!$G:$G,10,Daily!$I:$I,{"외주수리완료"},Daily!$C:$C,"ATT"),(SUMIFS(Daily!$W:$W,Daily!$G:$G,10,Daily!$I:$I,{"수리완료"},Daily!$C:$C,"ATT")+SUMIFS(Daily!$W:$W,Daily!$G:$G,10,Daily!$I:$I,{"외주수리완료"},Daily!$C:$C,"ATT"))/$R$3)</f>
        <v>0</v>
      </c>
      <c r="K15" s="26">
        <f>SUMIFS(Daily!$S:$S,Daily!$G:$G,10,Daily!$I:$I,{"수리완료"},Daily!$C:$C,"ATM")+SUMIFS(Daily!$S:$S,Daily!$G:$G,10,Daily!$I:$I,{"외주수리완료"},Daily!$C:$C,"ATM")</f>
        <v>0</v>
      </c>
      <c r="L15" s="122">
        <f>IF($R$2="K\",SUMIFS(Daily!$W:$W,Daily!$G:$G,10,Daily!$I:$I,{"수리완료"},Daily!$C:$C,"ATM")+SUMIFS(Daily!$W:$W,Daily!$G:$G,10,Daily!$I:$I,{"외주수리완료"},Daily!$C:$C,"ATM"),(SUMIFS(Daily!$W:$W,Daily!$G:$G,10,Daily!$I:$I,{"수리완료"},Daily!$C:$C,"ATM")+SUMIFS(Daily!$W:$W,Daily!$G:$G,10,Daily!$I:$I,{"외주수리완료"},Daily!$C:$C,"ATM"))/$R$3)</f>
        <v>0</v>
      </c>
      <c r="M15" s="26">
        <f>SUMIFS(Daily!$S:$S,Daily!$G:$G,10,Daily!$I:$I,{"수리완료"},Daily!$C:$C,"ATJ")+SUMIFS(Daily!$S:$S,Daily!$G:$G,10,Daily!$I:$I,{"외주수리완료"},Daily!$C:$C,"ATJ")</f>
        <v>0</v>
      </c>
      <c r="N15" s="122">
        <f>IF($R$2="K\",SUMIFS(Daily!$W:$W,Daily!$G:$G,10,Daily!$I:$I,{"수리완료"},Daily!$C:$C,"ATJ")+SUMIFS(Daily!$W:$W,Daily!$G:$G,10,Daily!$I:$I,{"외주수리완료"},Daily!$C:$C,"ATJ"),(SUMIFS(Daily!$W:$W,Daily!$G:$G,10,Daily!$I:$I,{"수리완료"},Daily!$C:$C,"ATJ")+SUMIFS(Daily!$W:$W,Daily!$G:$G,10,Daily!$I:$I,{"외주수리완료"},Daily!$C:$C,"ATJ"))/$R$3)</f>
        <v>0</v>
      </c>
      <c r="O15" s="26">
        <f>SUMIFS(Daily!$S:$S,Daily!$G:$G,10,Daily!$I:$I,{"*수리완료"},Daily!$C:$C,"ATEP")</f>
        <v>0</v>
      </c>
      <c r="P15" s="122">
        <f>IF($R$2="K\",SUMIFS(Daily!$W:$W,Daily!$G:$G,10,Daily!$I:$I,{"수리완료"},Daily!$C:$C,"ATEP")+SUMIFS(Daily!$W:$W,Daily!$G:$G,10,Daily!$I:$I,{"외주수리완료"},Daily!$C:$C,"ATEP"),(SUMIFS(Daily!$W:$W,Daily!$G:$G,10,Daily!$I:$I,{"수리완료"},Daily!$C:$C,"ATEP")+SUMIFS(Daily!$W:$W,Daily!$G:$G,10,Daily!$I:$I,{"외주수리완료"},Daily!$C:$C,"ATEP"))/$R$3)</f>
        <v>0</v>
      </c>
      <c r="Q15" s="27">
        <f t="shared" si="0"/>
        <v>0</v>
      </c>
      <c r="R15" s="124">
        <f t="shared" si="1"/>
        <v>0</v>
      </c>
      <c r="U15" s="104"/>
      <c r="Z15" s="93"/>
    </row>
    <row r="16" spans="2:26" ht="17.25" thickBot="1">
      <c r="B16" s="25" t="s">
        <v>65</v>
      </c>
      <c r="C16" s="26">
        <f>SUMPRODUCT(SUMIFS(Daily!$S:$S,Daily!$G:$G,"11",Daily!$C:$C,"ATK",Daily!$I:$I,"수리완료")) + SUMPRODUCT(SUMIFS(Daily!$S:$S,Daily!$G:$G,"11",Daily!$C:$C,"ATK",Daily!$I:$I,"외주수리완료"))</f>
        <v>0</v>
      </c>
      <c r="D16" s="122">
        <f>IF($R$2="K\",(SUMPRODUCT(SUMIFS(Daily!$W:$W,Daily!$G:$G,"11",Daily!$C:$C,"ATK",Daily!$I:$I,"수리완료")) + SUMPRODUCT(SUMIFS(Daily!$W:$W,Daily!$G:$G,"11",Daily!$C:$C,"ATK",Daily!$I:$I,"외주수리완료"))),(SUMPRODUCT(SUMIFS(Daily!$W:$W,Daily!$G:$G,"11",Daily!$C:$C,"ATK",Daily!$I:$I,"수리완료")) + SUMPRODUCT(SUMIFS(Daily!$W:$W,Daily!$G:$G,"11",Daily!$C:$C,"ATK",Daily!$I:$I,"외주수리완료")))/$R$3)</f>
        <v>0</v>
      </c>
      <c r="E16" s="26">
        <f>SUMIFS(Daily!$S:$S,Daily!$G:$G,11,Daily!$I:$I,{"수리완료"},Daily!$C:$C,"ATP")+SUMIFS(Daily!$S:$S,Daily!$G:$G,11,Daily!$I:$I,{"외주수리완료"},Daily!$C:$C,"ATP")</f>
        <v>0</v>
      </c>
      <c r="F16" s="122">
        <f>IF($R$2="K\",SUMIFS(Daily!$W:$W,Daily!$G:$G,11,Daily!$I:$I,{"수리완료"},Daily!$C:$C,"ATP")+SUMIFS(Daily!$W:$W,Daily!$G:$G,11,Daily!$I:$I,{"외주수리완료"},Daily!$C:$C,"ATP"),(SUMIFS(Daily!$W:$W,Daily!$G:$G,11,Daily!$I:$I,{"수리완료"},Daily!$C:$C,"ATP")+SUMIFS(Daily!$W:$W,Daily!$G:$G,11,Daily!$I:$I,{"외주수리완료"},Daily!$C:$C,"ATP"))/$R$3)</f>
        <v>0</v>
      </c>
      <c r="G16" s="26">
        <f>SUMIFS(Daily!$S:$S,Daily!$G:$G,11,Daily!$I:$I,{"수리완료"},Daily!$C:$C,"ATC")+SUMIFS(Daily!$S:$S,Daily!$G:$G,11,Daily!$I:$I,{"외주수리완료"},Daily!$C:$C,"ATC")</f>
        <v>0</v>
      </c>
      <c r="H16" s="122">
        <f>IF($R$2="K\",SUMIFS(Daily!$W:$W,Daily!$G:$G,11,Daily!$I:$I,{"수리완료"},Daily!$C:$C,"ATC")+SUMIFS(Daily!$W:$W,Daily!$G:$G,11,Daily!$I:$I,{"외주수리완료"},Daily!$C:$C,"ATC"),(SUMIFS(Daily!$W:$W,Daily!$G:$G,11,Daily!$I:$I,{"수리완료"},Daily!$C:$C,"ATC")+SUMIFS(Daily!$W:$W,Daily!$G:$G,11,Daily!$I:$I,{"외주수리완료"},Daily!$C:$C,"ATC"))/$R$3)</f>
        <v>0</v>
      </c>
      <c r="I16" s="26">
        <f>SUMIFS(Daily!$S:$S,Daily!$G:$G,11,Daily!$I:$I,{"수리완료"},Daily!$C:$C,"ATT")+SUMIFS(Daily!$S:$S,Daily!$G:$G,11,Daily!$I:$I,{"외주수리완료"},Daily!$C:$C,"ATT")</f>
        <v>0</v>
      </c>
      <c r="J16" s="122">
        <f>IF($R$2="K\",SUMIFS(Daily!$W:$W,Daily!$G:$G,11,Daily!$I:$I,{"수리완료"},Daily!$C:$C,"ATT")+SUMIFS(Daily!$W:$W,Daily!$G:$G,11,Daily!$I:$I,{"외주수리완료"},Daily!$C:$C,"ATT"),(SUMIFS(Daily!$W:$W,Daily!$G:$G,11,Daily!$I:$I,{"수리완료"},Daily!$C:$C,"ATT")+SUMIFS(Daily!$W:$W,Daily!$G:$G,11,Daily!$I:$I,{"외주수리완료"},Daily!$C:$C,"ATT"))/$R$3)</f>
        <v>0</v>
      </c>
      <c r="K16" s="26">
        <f>SUMIFS(Daily!$S:$S,Daily!$G:$G,11,Daily!$I:$I,{"수리완료"},Daily!$C:$C,"ATM")+SUMIFS(Daily!$S:$S,Daily!$G:$G,11,Daily!$I:$I,{"외주수리완료"},Daily!$C:$C,"ATM")</f>
        <v>0</v>
      </c>
      <c r="L16" s="122">
        <f>IF($R$2="K\",SUMIFS(Daily!$W:$W,Daily!$G:$G,11,Daily!$I:$I,{"수리완료"},Daily!$C:$C,"ATM")+SUMIFS(Daily!$W:$W,Daily!$G:$G,11,Daily!$I:$I,{"외주수리완료"},Daily!$C:$C,"ATM"),(SUMIFS(Daily!$W:$W,Daily!$G:$G,11,Daily!$I:$I,{"수리완료"},Daily!$C:$C,"ATM")+SUMIFS(Daily!$W:$W,Daily!$G:$G,11,Daily!$I:$I,{"외주수리완료"},Daily!$C:$C,"ATM"))/$R$3)</f>
        <v>0</v>
      </c>
      <c r="M16" s="26">
        <f>SUMIFS(Daily!$S:$S,Daily!$G:$G,11,Daily!$I:$I,{"수리완료"},Daily!$C:$C,"ATJ")+SUMIFS(Daily!$S:$S,Daily!$G:$G,11,Daily!$I:$I,{"외주수리완료"},Daily!$C:$C,"ATJ")</f>
        <v>0</v>
      </c>
      <c r="N16" s="122">
        <f>IF($R$2="K\",SUMIFS(Daily!$W:$W,Daily!$G:$G,10,Daily!$I:$I,{"수리완료"},Daily!$C:$C,"ATJ")+SUMIFS(Daily!$W:$W,Daily!$G:$G,10,Daily!$I:$I,{"외주수리완료"},Daily!$C:$C,"ATJ"),(SUMIFS(Daily!$W:$W,Daily!$G:$G,10,Daily!$I:$I,{"수리완료"},Daily!$C:$C,"ATJ")+SUMIFS(Daily!$W:$W,Daily!$G:$G,10,Daily!$I:$I,{"외주수리완료"},Daily!$C:$C,"ATJ"))/$R$3)</f>
        <v>0</v>
      </c>
      <c r="O16" s="26">
        <f>SUMIFS(Daily!$S:$S,Daily!$G:$G,11,Daily!$I:$I,{"*수리완료"},Daily!$C:$C,"ATEP")</f>
        <v>0</v>
      </c>
      <c r="P16" s="122">
        <f>IF($R$2="K\",SUMIFS(Daily!$W:$W,Daily!$G:$G,11,Daily!$I:$I,{"수리완료"},Daily!$C:$C,"ATEP")+SUMIFS(Daily!$W:$W,Daily!$G:$G,11,Daily!$I:$I,{"외주수리완료"},Daily!$C:$C,"ATEP"),(SUMIFS(Daily!$W:$W,Daily!$G:$G,11,Daily!$I:$I,{"수리완료"},Daily!$C:$C,"ATEP")+SUMIFS(Daily!$W:$W,Daily!$G:$G,11,Daily!$I:$I,{"외주수리완료"},Daily!$C:$C,"ATEP"))/$R$3)</f>
        <v>0</v>
      </c>
      <c r="Q16" s="27">
        <f t="shared" si="0"/>
        <v>0</v>
      </c>
      <c r="R16" s="124">
        <f t="shared" si="1"/>
        <v>0</v>
      </c>
      <c r="T16" s="28" t="s">
        <v>118</v>
      </c>
      <c r="U16" s="116" t="s">
        <v>115</v>
      </c>
      <c r="V16" s="116" t="s">
        <v>116</v>
      </c>
    </row>
    <row r="17" spans="2:22" ht="17.25" thickBot="1">
      <c r="B17" s="25" t="s">
        <v>66</v>
      </c>
      <c r="C17" s="26">
        <f>SUMPRODUCT(SUMIFS(Daily!$S:$S,Daily!$G:$G,"12",Daily!$C:$C,"ATK",Daily!$I:$I,"수리완료")) + SUMPRODUCT(SUMIFS(Daily!$S:$S,Daily!$G:$G,"12",Daily!$C:$C,"ATK",Daily!$I:$I,"외주수리완료"))</f>
        <v>0</v>
      </c>
      <c r="D17" s="122">
        <f>IF($R$2="K\",(SUMPRODUCT(SUMIFS(Daily!$W:$W,Daily!$G:$G,"12",Daily!$C:$C,"ATK",Daily!$I:$I,"수리완료")) + SUMPRODUCT(SUMIFS(Daily!$W:$W,Daily!$G:$G,"12",Daily!$C:$C,"ATK",Daily!$I:$I,"외주수리완료"))),(SUMPRODUCT(SUMIFS(Daily!$W:$W,Daily!$G:$G,"12",Daily!$C:$C,"ATK",Daily!$I:$I,"수리완료")) + SUMPRODUCT(SUMIFS(Daily!$W:$W,Daily!$G:$G,"12",Daily!$C:$C,"ATK",Daily!$I:$I,"외주수리완료")))/$R$3)</f>
        <v>0</v>
      </c>
      <c r="E17" s="26">
        <f>SUMIFS(Daily!$S:$S,Daily!$G:$G,12,Daily!$I:$I,{"수리완료"},Daily!$C:$C,"ATP")+SUMIFS(Daily!$S:$S,Daily!$G:$G,12,Daily!$I:$I,{"외주수리완료"},Daily!$C:$C,"ATP")</f>
        <v>0</v>
      </c>
      <c r="F17" s="122">
        <f>IF($R$2="K\",SUMIFS(Daily!$W:$W,Daily!$G:$G,12,Daily!$I:$I,{"수리완료"},Daily!$C:$C,"ATP")+SUMIFS(Daily!$W:$W,Daily!$G:$G,12,Daily!$I:$I,{"외주수리완료"},Daily!$C:$C,"ATP"),(SUMIFS(Daily!$W:$W,Daily!$G:$G,12,Daily!$I:$I,{"수리완료"},Daily!$C:$C,"ATP")+SUMIFS(Daily!$W:$W,Daily!$G:$G,12,Daily!$I:$I,{"외주수리완료"},Daily!$C:$C,"ATP"))/$R$3)</f>
        <v>0</v>
      </c>
      <c r="G17" s="26">
        <f>SUMIFS(Daily!$S:$S,Daily!$G:$G,12,Daily!$I:$I,{"수리완료"},Daily!$C:$C,"ATC")+SUMIFS(Daily!$S:$S,Daily!$G:$G,12,Daily!$I:$I,{"외주수리완료"},Daily!$C:$C,"ATC")</f>
        <v>0</v>
      </c>
      <c r="H17" s="122">
        <f>IF($R$2="K\",SUMIFS(Daily!$W:$W,Daily!$G:$G,12,Daily!$I:$I,{"수리완료"},Daily!$C:$C,"ATC")+SUMIFS(Daily!$W:$W,Daily!$G:$G,12,Daily!$I:$I,{"외주수리완료"},Daily!$C:$C,"ATC"),(SUMIFS(Daily!$W:$W,Daily!$G:$G,12,Daily!$I:$I,{"수리완료"},Daily!$C:$C,"ATC")+SUMIFS(Daily!$W:$W,Daily!$G:$G,12,Daily!$I:$I,{"외주수리완료"},Daily!$C:$C,"ATC"))/$R$3)</f>
        <v>0</v>
      </c>
      <c r="I17" s="26">
        <f>SUMIFS(Daily!$S:$S,Daily!$G:$G,12,Daily!$I:$I,{"수리완료"},Daily!$C:$C,"ATT")+SUMIFS(Daily!$S:$S,Daily!$G:$G,12,Daily!$I:$I,{"외주수리완료"},Daily!$C:$C,"ATT")</f>
        <v>0</v>
      </c>
      <c r="J17" s="122">
        <f>IF($R$2="K\",SUMIFS(Daily!$W:$W,Daily!$G:$G,12,Daily!$I:$I,{"수리완료"},Daily!$C:$C,"ATT")+SUMIFS(Daily!$W:$W,Daily!$G:$G,12,Daily!$I:$I,{"외주수리완료"},Daily!$C:$C,"ATT"),(SUMIFS(Daily!$W:$W,Daily!$G:$G,12,Daily!$I:$I,{"수리완료"},Daily!$C:$C,"ATT")+SUMIFS(Daily!$W:$W,Daily!$G:$G,12,Daily!$I:$I,{"외주수리완료"},Daily!$C:$C,"ATT"))/$R$3)</f>
        <v>0</v>
      </c>
      <c r="K17" s="26">
        <f>SUMIFS(Daily!$S:$S,Daily!$G:$G,12,Daily!$I:$I,{"수리완료"},Daily!$C:$C,"ATM")+SUMIFS(Daily!$S:$S,Daily!$G:$G,12,Daily!$I:$I,{"외주수리완료"},Daily!$C:$C,"ATM")</f>
        <v>0</v>
      </c>
      <c r="L17" s="122">
        <f>IF($R$2="K\",SUMIFS(Daily!$W:$W,Daily!$G:$G,12,Daily!$I:$I,{"수리완료"},Daily!$C:$C,"ATM")+SUMIFS(Daily!$W:$W,Daily!$G:$G,12,Daily!$I:$I,{"외주수리완료"},Daily!$C:$C,"ATM"),(SUMIFS(Daily!$W:$W,Daily!$G:$G,12,Daily!$I:$I,{"수리완료"},Daily!$C:$C,"ATM")+SUMIFS(Daily!$W:$W,Daily!$G:$G,12,Daily!$I:$I,{"외주수리완료"},Daily!$C:$C,"ATM"))/$R$3)</f>
        <v>0</v>
      </c>
      <c r="M17" s="26">
        <f>SUMIFS(Daily!$S:$S,Daily!$G:$G,12,Daily!$I:$I,{"수리완료"},Daily!$C:$C,"ATJ")+SUMIFS(Daily!$S:$S,Daily!$G:$G,12,Daily!$I:$I,{"외주수리완료"},Daily!$C:$C,"ATJ")</f>
        <v>0</v>
      </c>
      <c r="N17" s="122">
        <f>IF($R$2="K\",SUMIFS(Daily!$W:$W,Daily!$G:$G,12,Daily!$I:$I,{"수리완료"},Daily!$C:$C,"ATJ")+SUMIFS(Daily!$W:$W,Daily!$G:$G,12,Daily!$I:$I,{"외주수리완료"},Daily!$C:$C,"ATJ"),(SUMIFS(Daily!$W:$W,Daily!$G:$G,12,Daily!$I:$I,{"수리완료"},Daily!$C:$C,"ATJ")+SUMIFS(Daily!$W:$W,Daily!$G:$G,12,Daily!$I:$I,{"외주수리완료"},Daily!$C:$C,"ATJ"))/$R$3)</f>
        <v>0</v>
      </c>
      <c r="O17" s="26">
        <f>SUMIFS(Daily!$S:$S,Daily!$G:$G,12,Daily!$I:$I,{"*수리완료"},Daily!$C:$C,"ATEP")</f>
        <v>0</v>
      </c>
      <c r="P17" s="122">
        <f>IF($R$2="K\",SUMIFS(Daily!$W:$W,Daily!$G:$G,12,Daily!$I:$I,{"수리완료"},Daily!$C:$C,"ATEP")+SUMIFS(Daily!$W:$W,Daily!$G:$G,12,Daily!$I:$I,{"외주수리완료"},Daily!$C:$C,"ATEP"),(SUMIFS(Daily!$W:$W,Daily!$G:$G,12,Daily!$I:$I,{"수리완료"},Daily!$C:$C,"ATEP")+SUMIFS(Daily!$W:$W,Daily!$G:$G,12,Daily!$I:$I,{"외주수리완료"},Daily!$C:$C,"ATEP"))/$R$3)</f>
        <v>0</v>
      </c>
      <c r="Q17" s="27">
        <f t="shared" si="0"/>
        <v>0</v>
      </c>
      <c r="R17" s="124">
        <f t="shared" si="1"/>
        <v>0</v>
      </c>
      <c r="T17" s="28" t="s">
        <v>114</v>
      </c>
      <c r="U17" s="93">
        <f>INT(SUM(Daily!U:U))</f>
        <v>495978</v>
      </c>
      <c r="V17" s="125">
        <f>U17/$R$3</f>
        <v>450.8890909090909</v>
      </c>
    </row>
    <row r="18" spans="2:22" ht="17.25" thickBot="1">
      <c r="B18" s="25" t="s">
        <v>30</v>
      </c>
      <c r="C18" s="26"/>
      <c r="D18" s="122"/>
      <c r="E18" s="26"/>
      <c r="F18" s="122"/>
      <c r="G18" s="26"/>
      <c r="H18" s="122"/>
      <c r="I18" s="26"/>
      <c r="J18" s="122"/>
      <c r="K18" s="26"/>
      <c r="L18" s="122"/>
      <c r="M18" s="26"/>
      <c r="N18" s="122"/>
      <c r="O18" s="26"/>
      <c r="P18" s="122"/>
      <c r="Q18" s="27"/>
      <c r="R18" s="124"/>
      <c r="T18" s="28" t="s">
        <v>117</v>
      </c>
      <c r="U18" s="93">
        <f>SUM(Daily!V:V)</f>
        <v>16160</v>
      </c>
      <c r="V18" s="125">
        <f>U18/$R$3</f>
        <v>14.690909090909091</v>
      </c>
    </row>
    <row r="19" spans="2:22" ht="17.25" thickBot="1">
      <c r="B19" s="29" t="s">
        <v>67</v>
      </c>
      <c r="C19" s="30">
        <f t="shared" ref="C19:N19" si="3">SUM(C6:C17)</f>
        <v>328</v>
      </c>
      <c r="D19" s="123">
        <f t="shared" si="3"/>
        <v>352.31454545454551</v>
      </c>
      <c r="E19" s="30">
        <f t="shared" si="3"/>
        <v>12</v>
      </c>
      <c r="F19" s="123">
        <f t="shared" si="3"/>
        <v>22.5</v>
      </c>
      <c r="G19" s="30">
        <f t="shared" si="3"/>
        <v>0</v>
      </c>
      <c r="H19" s="123">
        <f t="shared" si="3"/>
        <v>0</v>
      </c>
      <c r="I19" s="30">
        <f t="shared" si="3"/>
        <v>0</v>
      </c>
      <c r="J19" s="123">
        <f t="shared" si="3"/>
        <v>0</v>
      </c>
      <c r="K19" s="30">
        <f t="shared" si="3"/>
        <v>2</v>
      </c>
      <c r="L19" s="123">
        <f t="shared" si="3"/>
        <v>1.9727272727272727</v>
      </c>
      <c r="M19" s="30">
        <f t="shared" si="3"/>
        <v>0</v>
      </c>
      <c r="N19" s="123">
        <f t="shared" si="3"/>
        <v>0</v>
      </c>
      <c r="O19" s="30">
        <f>SUM(O6:O17)</f>
        <v>0</v>
      </c>
      <c r="P19" s="123">
        <f>SUM(P6:P17)</f>
        <v>0</v>
      </c>
      <c r="Q19" s="27">
        <f>C19+E19+G19+I19+K19+M19+O19</f>
        <v>342</v>
      </c>
      <c r="R19" s="191">
        <f>D19+F19+H19+J19+L19+N19+P19</f>
        <v>376.78727272727281</v>
      </c>
      <c r="T19" s="28" t="s">
        <v>55</v>
      </c>
      <c r="U19" s="93">
        <f>U17-U18</f>
        <v>479818</v>
      </c>
      <c r="V19" s="125">
        <f>U19/$R$3</f>
        <v>436.19818181818181</v>
      </c>
    </row>
    <row r="20" spans="2:22" ht="17.25" thickBot="1">
      <c r="B20" s="31" t="s">
        <v>68</v>
      </c>
      <c r="C20" s="32">
        <f>C19/($C$19+$E$19+$G$19+$I$19+$K$19+$M$19+$O$19)</f>
        <v>0.95906432748538006</v>
      </c>
      <c r="D20" s="32">
        <f>D19/($D$19+$F$19+$H$19+$J$19+$L$19+$N$19+$P$19)</f>
        <v>0.93504895455839554</v>
      </c>
      <c r="E20" s="32">
        <f>E19/($C$19+$E$19+$G$19+$I$19+$K$19+$M$19+$O$19)</f>
        <v>3.5087719298245612E-2</v>
      </c>
      <c r="F20" s="32">
        <f>F19/($D$19+$F$19+$H$19+$J$19+$L$19+$N$19+$P$19)</f>
        <v>5.9715392818711292E-2</v>
      </c>
      <c r="G20" s="32">
        <f>G19/($C$19+$E$19+$G$19+$I$19+$K$19+$M$19+$O$19)</f>
        <v>0</v>
      </c>
      <c r="H20" s="32">
        <f>H19/($D$19+$F$19+$H$19+$J$19+$L$19+$N$19+$P$19)</f>
        <v>0</v>
      </c>
      <c r="I20" s="32">
        <f>I19/($C$19+$E$19+$G$19+$I$19+$K$19+$M$19+$O$19)</f>
        <v>0</v>
      </c>
      <c r="J20" s="32">
        <f>J19/($D$19+$F$19+$H$19+$J$19+$L$19+$N$19+$P$19)</f>
        <v>0</v>
      </c>
      <c r="K20" s="32">
        <f>K19/($C$19+$E$19+$G$19+$I$19+$K$19+$M$19+$O$19)</f>
        <v>5.8479532163742687E-3</v>
      </c>
      <c r="L20" s="32">
        <f>L19/($D$19+$F$19+$H$19+$J$19+$L$19+$N$19+$P$19)</f>
        <v>5.2356526228930708E-3</v>
      </c>
      <c r="M20" s="32">
        <f>M19/($C$19+$E$19+$G$19+$I$19+$K$19+$M$19+$O$19)</f>
        <v>0</v>
      </c>
      <c r="N20" s="32">
        <f>N19/($D$19+$F$19+$H$19+$J$19+$L$19+$N$19+$P$19)</f>
        <v>0</v>
      </c>
      <c r="O20" s="32">
        <f>O19/($C$19+$E$19+$G$19+$I$19+$K$19+$M$19+$O$19)</f>
        <v>0</v>
      </c>
      <c r="P20" s="32">
        <f>P19/($D$19+$F$19+$H$19+$J$19+$L$19+$N$19+$P$19)</f>
        <v>0</v>
      </c>
      <c r="Q20" s="33">
        <f>C20+E20+G20+I20+K20+M20+O20</f>
        <v>1</v>
      </c>
      <c r="R20" s="33">
        <f>D20+F20+H20+J20+L20+N20+P20</f>
        <v>0.99999999999999989</v>
      </c>
      <c r="V20" s="22">
        <f>335951/1100</f>
        <v>305.41000000000003</v>
      </c>
    </row>
    <row r="21" spans="2:22">
      <c r="B21" s="34"/>
      <c r="C21" s="34"/>
      <c r="D21" s="34"/>
      <c r="E21" s="34"/>
      <c r="F21" s="34"/>
      <c r="G21" s="34"/>
      <c r="H21" s="34"/>
      <c r="I21" s="34"/>
      <c r="J21" s="34"/>
      <c r="K21"/>
      <c r="L21"/>
      <c r="M21"/>
      <c r="N21"/>
      <c r="O21"/>
      <c r="P21"/>
      <c r="V21" s="22">
        <f>156284/1100</f>
        <v>142.07636363636362</v>
      </c>
    </row>
    <row r="22" spans="2:22">
      <c r="B22" s="34"/>
      <c r="C22" s="34"/>
      <c r="D22" s="34"/>
      <c r="E22" s="34"/>
      <c r="F22" s="34"/>
      <c r="G22" s="34"/>
      <c r="H22" s="34"/>
      <c r="I22" s="34"/>
      <c r="J22" s="34"/>
      <c r="K22"/>
      <c r="L22"/>
      <c r="M22"/>
      <c r="N22"/>
      <c r="O22"/>
      <c r="P22"/>
      <c r="V22" s="22">
        <f>95618/1100</f>
        <v>86.925454545454542</v>
      </c>
    </row>
    <row r="23" spans="2:22">
      <c r="B23" s="34"/>
      <c r="C23" s="34"/>
      <c r="D23" s="34"/>
      <c r="E23" s="34"/>
      <c r="F23" s="34"/>
      <c r="G23" s="34"/>
      <c r="H23" s="34"/>
      <c r="I23" s="34"/>
      <c r="J23" s="34"/>
      <c r="K23"/>
      <c r="L23"/>
      <c r="M23"/>
      <c r="N23"/>
      <c r="O23"/>
      <c r="P23"/>
    </row>
    <row r="24" spans="2:22">
      <c r="B24" s="34"/>
      <c r="C24" s="34"/>
      <c r="D24" s="34"/>
      <c r="E24" s="34"/>
      <c r="F24" s="34"/>
      <c r="G24" s="34"/>
      <c r="H24" s="34"/>
      <c r="I24" s="34"/>
      <c r="J24" s="34"/>
      <c r="K24"/>
      <c r="L24"/>
      <c r="M24"/>
      <c r="N24"/>
      <c r="O24"/>
      <c r="P24"/>
    </row>
    <row r="25" spans="2:22">
      <c r="B25" s="34"/>
      <c r="C25" s="34"/>
      <c r="D25" s="34"/>
      <c r="E25" s="34"/>
      <c r="F25" s="34"/>
      <c r="G25" s="34"/>
      <c r="H25" s="34"/>
      <c r="I25" s="34"/>
      <c r="J25" s="34"/>
      <c r="K25"/>
      <c r="L25"/>
      <c r="M25"/>
      <c r="N25"/>
      <c r="O25"/>
      <c r="P25"/>
    </row>
    <row r="26" spans="2:22">
      <c r="B26" s="34"/>
      <c r="C26" s="34"/>
      <c r="D26" s="34"/>
      <c r="E26" s="34"/>
      <c r="F26" s="34"/>
      <c r="G26" s="34"/>
      <c r="H26" s="34"/>
      <c r="I26" s="34"/>
      <c r="J26" s="34"/>
      <c r="K26"/>
      <c r="L26"/>
      <c r="M26"/>
      <c r="N26"/>
      <c r="O26"/>
      <c r="P26"/>
    </row>
    <row r="27" spans="2:22">
      <c r="B27" s="34"/>
      <c r="C27" s="34"/>
      <c r="D27" s="34"/>
      <c r="E27" s="34"/>
      <c r="F27" s="34"/>
      <c r="G27" s="34"/>
      <c r="H27" s="34"/>
      <c r="I27" s="34"/>
      <c r="J27" s="34"/>
      <c r="K27"/>
      <c r="L27"/>
      <c r="M27"/>
      <c r="N27"/>
      <c r="O27"/>
      <c r="P27"/>
    </row>
    <row r="28" spans="2:22">
      <c r="B28" s="35"/>
      <c r="C28" s="35"/>
      <c r="D28" s="35"/>
      <c r="E28" s="35"/>
      <c r="F28" s="35"/>
      <c r="G28" s="35"/>
      <c r="H28" s="35"/>
      <c r="I28" s="35"/>
      <c r="J28" s="35"/>
      <c r="K28"/>
      <c r="L28"/>
      <c r="M28"/>
      <c r="N28"/>
      <c r="O28"/>
      <c r="P28"/>
    </row>
    <row r="29" spans="2:22">
      <c r="B29" s="35"/>
      <c r="C29" s="35"/>
      <c r="D29" s="35"/>
      <c r="E29" s="35"/>
      <c r="F29" s="35"/>
      <c r="G29" s="35"/>
      <c r="H29" s="35"/>
      <c r="I29" s="35"/>
      <c r="J29" s="35"/>
      <c r="K29"/>
      <c r="L29"/>
      <c r="M29"/>
      <c r="N29"/>
      <c r="O29"/>
      <c r="P29"/>
    </row>
    <row r="30" spans="2:22">
      <c r="B30" s="35"/>
      <c r="C30" s="35"/>
      <c r="D30" s="35"/>
      <c r="E30" s="35"/>
      <c r="F30" s="35"/>
      <c r="G30" s="35"/>
      <c r="H30" s="35"/>
      <c r="I30" s="35"/>
      <c r="J30" s="35"/>
      <c r="K30"/>
      <c r="L30"/>
      <c r="M30"/>
      <c r="N30"/>
      <c r="O30"/>
      <c r="P30"/>
    </row>
    <row r="31" spans="2:22">
      <c r="B31" s="35"/>
      <c r="C31" s="35"/>
      <c r="D31" s="35"/>
      <c r="E31" s="35"/>
      <c r="F31" s="35"/>
      <c r="G31" s="35"/>
      <c r="H31" s="35"/>
      <c r="I31" s="35"/>
      <c r="J31" s="35"/>
      <c r="K31"/>
      <c r="L31"/>
      <c r="M31"/>
      <c r="N31"/>
      <c r="O31"/>
      <c r="P31"/>
    </row>
    <row r="32" spans="2:22">
      <c r="B32" s="35"/>
      <c r="C32" s="35"/>
      <c r="D32" s="35"/>
      <c r="E32" s="35"/>
      <c r="F32" s="35"/>
      <c r="G32" s="35"/>
      <c r="H32" s="35"/>
      <c r="I32" s="35"/>
      <c r="J32" s="35"/>
      <c r="K32"/>
      <c r="L32"/>
      <c r="M32"/>
      <c r="N32"/>
      <c r="O32"/>
      <c r="P32"/>
    </row>
    <row r="33" spans="2:16">
      <c r="B33" s="35"/>
      <c r="C33" s="35"/>
      <c r="D33" s="35"/>
      <c r="E33" s="35"/>
      <c r="F33" s="35"/>
      <c r="G33" s="35"/>
      <c r="H33" s="35"/>
      <c r="I33" s="35"/>
      <c r="J33" s="35"/>
      <c r="K33"/>
      <c r="L33"/>
      <c r="M33"/>
      <c r="N33"/>
      <c r="O33"/>
      <c r="P33"/>
    </row>
    <row r="34" spans="2:16">
      <c r="B34" s="35"/>
      <c r="C34" s="35"/>
      <c r="D34" s="35"/>
      <c r="E34" s="35"/>
      <c r="F34" s="35"/>
      <c r="G34" s="35"/>
      <c r="H34" s="35"/>
      <c r="I34" s="35"/>
      <c r="J34" s="35"/>
      <c r="K34"/>
      <c r="L34"/>
      <c r="M34"/>
      <c r="N34"/>
      <c r="O34"/>
      <c r="P34"/>
    </row>
    <row r="73" spans="4:28">
      <c r="S73" s="93">
        <v>1</v>
      </c>
      <c r="T73" s="22">
        <v>710</v>
      </c>
      <c r="AB73" s="22" t="s">
        <v>275</v>
      </c>
    </row>
    <row r="74" spans="4:28">
      <c r="S74" s="93">
        <v>1</v>
      </c>
      <c r="T74" s="22">
        <v>710</v>
      </c>
      <c r="AB74" s="22" t="s">
        <v>275</v>
      </c>
    </row>
    <row r="75" spans="4:28">
      <c r="D75" s="22" t="s">
        <v>282</v>
      </c>
      <c r="E75" s="200">
        <v>44202</v>
      </c>
      <c r="I75" s="22" t="s">
        <v>277</v>
      </c>
      <c r="J75" s="9" t="s">
        <v>142</v>
      </c>
      <c r="K75" s="10" t="s">
        <v>158</v>
      </c>
      <c r="L75" s="11" t="str">
        <f t="shared" ref="L75" si="4">LEFT(K75,3)</f>
        <v>1T3</v>
      </c>
      <c r="N75" s="22" t="s">
        <v>283</v>
      </c>
      <c r="O75" s="22" t="s">
        <v>152</v>
      </c>
      <c r="S75" s="93">
        <v>1</v>
      </c>
      <c r="T75" s="22">
        <v>1600</v>
      </c>
    </row>
    <row r="76" spans="4:28">
      <c r="D76" s="22" t="s">
        <v>284</v>
      </c>
      <c r="E76" s="200">
        <v>44203</v>
      </c>
    </row>
  </sheetData>
  <mergeCells count="17">
    <mergeCell ref="B1:M2"/>
    <mergeCell ref="B4:B5"/>
    <mergeCell ref="C4:D4"/>
    <mergeCell ref="E4:F4"/>
    <mergeCell ref="G4:H4"/>
    <mergeCell ref="I4:J4"/>
    <mergeCell ref="K4:L4"/>
    <mergeCell ref="M4:N4"/>
    <mergeCell ref="W4:W5"/>
    <mergeCell ref="X4:X5"/>
    <mergeCell ref="Y4:Y5"/>
    <mergeCell ref="Z4:Z5"/>
    <mergeCell ref="O4:P4"/>
    <mergeCell ref="Q4:R4"/>
    <mergeCell ref="T4:T5"/>
    <mergeCell ref="U4:U5"/>
    <mergeCell ref="V4:V5"/>
  </mergeCells>
  <phoneticPr fontId="3" type="noConversion"/>
  <dataValidations count="3">
    <dataValidation type="list" allowBlank="1" showInputMessage="1" showErrorMessage="1" sqref="R2" xr:uid="{00000000-0002-0000-0100-000000000000}">
      <formula1>"K$, K\"</formula1>
    </dataValidation>
    <dataValidation type="list" allowBlank="1" showInputMessage="1" showErrorMessage="1" sqref="K75" xr:uid="{00000000-0002-0000-0100-000001000000}">
      <formula1>"1T1P,1T2P,1T3P,1T4P,2T1P,2T2P,2T3P,2T4P,3T1P,3T2P,3T3P,3T4P,3T5P,5T1P,5T2P,5T3P,6T1P,6T2P,6T3P,ATP,ATT,ATC,ATM,EE1,EE2,Other,QA,K5,Bump1,PM,ATJ"</formula1>
    </dataValidation>
    <dataValidation type="list" allowBlank="1" showInputMessage="1" showErrorMessage="1" sqref="J75" xr:uid="{00000000-0002-0000-0100-000002000000}">
      <formula1>"A,B,C,G,F,P,EE,Bump,Other,QA,K5,ATT,ATP,ATC,ATM,ICS,PM,ATJ"</formula1>
    </dataValidation>
  </dataValidations>
  <pageMargins left="0.7" right="0.7" top="0.75" bottom="0.75" header="0.3" footer="0.3"/>
  <pageSetup paperSize="9" orientation="portrait" r:id="rId1"/>
  <ignoredErrors>
    <ignoredError sqref="D20 F20 H20 J20 L20 N20" formula="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1:AB76"/>
  <sheetViews>
    <sheetView zoomScale="115" zoomScaleNormal="115" workbookViewId="0">
      <selection activeCell="J15" sqref="J15"/>
    </sheetView>
  </sheetViews>
  <sheetFormatPr defaultRowHeight="16.5"/>
  <cols>
    <col min="1" max="3" width="11.625" customWidth="1"/>
    <col min="4" max="4" width="13.75" style="82" customWidth="1"/>
    <col min="5" max="5" width="8.625" style="82" customWidth="1"/>
    <col min="6" max="7" width="11.625" style="82" customWidth="1"/>
    <col min="8" max="9" width="12.625" customWidth="1"/>
  </cols>
  <sheetData>
    <row r="1" spans="1:9" ht="32.25" thickBot="1">
      <c r="A1" s="214" t="s">
        <v>82</v>
      </c>
      <c r="B1" s="215"/>
      <c r="C1" s="215"/>
      <c r="D1" s="215"/>
      <c r="E1" s="215"/>
      <c r="F1" s="215"/>
      <c r="G1" s="215"/>
      <c r="H1" s="215"/>
      <c r="I1" s="216"/>
    </row>
    <row r="2" spans="1:9" ht="17.25" thickBot="1">
      <c r="A2" s="217">
        <v>3</v>
      </c>
      <c r="B2" s="218" t="s">
        <v>83</v>
      </c>
      <c r="C2" s="222"/>
      <c r="D2" s="222"/>
      <c r="E2" s="219"/>
      <c r="F2" s="218" t="s">
        <v>84</v>
      </c>
      <c r="G2" s="219"/>
      <c r="H2" s="220" t="s">
        <v>30</v>
      </c>
      <c r="I2" s="221"/>
    </row>
    <row r="3" spans="1:9" ht="17.25" thickBot="1">
      <c r="A3" s="217"/>
      <c r="B3" s="165" t="s">
        <v>85</v>
      </c>
      <c r="C3" s="166" t="s">
        <v>86</v>
      </c>
      <c r="D3" s="167" t="s">
        <v>87</v>
      </c>
      <c r="E3" s="154" t="s">
        <v>119</v>
      </c>
      <c r="F3" s="168" t="s">
        <v>85</v>
      </c>
      <c r="G3" s="174" t="s">
        <v>86</v>
      </c>
      <c r="H3" s="175" t="s">
        <v>85</v>
      </c>
      <c r="I3" s="176" t="s">
        <v>86</v>
      </c>
    </row>
    <row r="4" spans="1:9">
      <c r="A4" s="79" t="s">
        <v>32</v>
      </c>
      <c r="B4" s="133">
        <f>SUMIFS(Daily!$S:$S, Daily!$AB:$AB, "*강영구*", Daily!$I:$I, "*수리완료",Daily!$F:$F,"&lt;&gt;",Daily!B:B,'Weekly Performance'!A2)</f>
        <v>3</v>
      </c>
      <c r="C4" s="134">
        <f>SUMIFS(Daily!$Z:$Z, Daily!$AB:$AB, "*강영구*", Daily!$I:$I, "*수리완료",Daily!$F:$F,"&lt;&gt;",Daily!B:B,'Weekly Performance'!A2)+SUMIFS(Daily!$Z:$Z, Daily!$AB:$AB, "*강영구*", Daily!$I:$I, "수리불가",Daily!$F:$F,"&lt;&gt;",Daily!B:B,'Weekly Performance'!A2)+SUMIFS(Daily!$Z:$Z, Daily!$AB:$AB, "*강영구*", Daily!$I:$I, "폐기",Daily!$F:$F,"&lt;&gt;",Daily!B:B,'Weekly Performance'!A2)</f>
        <v>13</v>
      </c>
      <c r="D4" s="155">
        <f>SUMIFS(Daily!W:W, Daily!$AB:$AB,"*강영구*", Daily!$I:$I, "수리완료",Daily!$F:$F,"&lt;&gt;", Daily!B:B,'Weekly Performance'!A2)+SUMIFS(Daily!W:W, Daily!$AB:$AB,"*강영구*", Daily!$I:$I, "외주수리완료",Daily!$F:$F,"&lt;&gt;", Daily!B:B,'Weekly Performance'!A2)</f>
        <v>1555</v>
      </c>
      <c r="E4" s="160">
        <f>D4/1100</f>
        <v>1.4136363636363636</v>
      </c>
      <c r="F4" s="169">
        <f>SUMIFS(Daily!$S:$S, Daily!$AB:$AB, "*강영구*", Daily!$I:$I, "*수리중")</f>
        <v>3</v>
      </c>
      <c r="G4" s="135">
        <f>SUMIFS(Daily!$Z:$Z, Daily!$AB:$AB, "*강영구*", Daily!$I:$I, "*수리중")</f>
        <v>0</v>
      </c>
      <c r="H4" s="149">
        <f>SUMIFS(Daily!$S:$S, Daily!$AB:$AB, "*강영구*", Daily!$I:$I, "Other", Daily!$F:$F,"&lt;&gt;",Daily!B:B,'Weekly Performance'!A2)</f>
        <v>0</v>
      </c>
      <c r="I4" s="135">
        <f>SUMIFS(Daily!$Z:$Z, Daily!$AB:$AB, "*강영구*", Daily!$I:$I, "Other",Daily!$F:$F,"&lt;&gt;", Daily!B:B,'Weekly Performance'!A2)</f>
        <v>0</v>
      </c>
    </row>
    <row r="5" spans="1:9">
      <c r="A5" s="80" t="s">
        <v>29</v>
      </c>
      <c r="B5" s="136">
        <f>SUMIFS(Daily!$S:$S, Daily!$AB:$AB, "*장은철*", Daily!$I:$I, "수리완료",Daily!$F:$F,"&lt;&gt;",Daily!B:B,'Weekly Performance'!A2)+SUMIFS(Daily!$S:$S, Daily!$AB:$AB, "*장은철*", Daily!$I:$I, "외주수리완료",Daily!$F:$F,"&lt;&gt;",Daily!B:B,'Weekly Performance'!A2)</f>
        <v>6</v>
      </c>
      <c r="C5" s="137">
        <f>SUMIFS(Daily!$Z:$Z, Daily!$AB:$AB, "*장은철*", Daily!$I:$I, "*수리완료",Daily!$F:$F,"&lt;&gt;",Daily!B:B,'Weekly Performance'!A2)+SUMIFS(Daily!$Z:$Z, Daily!$AB:$AB, "*장은철*", Daily!$I:$I, "수리불가",Daily!$F:$F,"&lt;&gt;",Daily!B:B,'Weekly Performance'!A2)+SUMIFS(Daily!$Z:$Z, Daily!$AB:$AB, "*장은철*", Daily!$I:$I, "폐기",Daily!$F:$F,"&lt;&gt;",Daily!B:B,'Weekly Performance'!A2)</f>
        <v>13</v>
      </c>
      <c r="D5" s="156">
        <f>SUMIFS(Daily!W:W, Daily!$AB:$AB,"*장은철*", Daily!$I:$I, "수리완료",Daily!$F:$F,"&lt;&gt;", Daily!B:B,'Weekly Performance'!A2)+SUMIFS(Daily!W:W, Daily!$AB:$AB,"*장은철*", Daily!$I:$I, "외주수리완료",Daily!$F:$F,"&lt;&gt;", Daily!B:B,'Weekly Performance'!A2)</f>
        <v>10600</v>
      </c>
      <c r="E5" s="161">
        <f t="shared" ref="E5:E10" si="0">D5/1100</f>
        <v>9.6363636363636367</v>
      </c>
      <c r="F5" s="170">
        <f>SUMIFS(Daily!$S:$S, Daily!$AB:$AB, "*장은철*", Daily!$I:$I, "*수리중")</f>
        <v>9</v>
      </c>
      <c r="G5" s="138">
        <f>SUMIFS(Daily!$Z:$Z, Daily!$AB:$AB, "*장은철*", Daily!$I:$I, "*수리중")</f>
        <v>5</v>
      </c>
      <c r="H5" s="150">
        <f>SUMIFS(Daily!$S:$S, Daily!$AB:$AB, "*장은철*", Daily!$I:$I, "Other", Daily!$F:$F,"&lt;&gt;",Daily!B:B,'Weekly Performance'!A2)</f>
        <v>1</v>
      </c>
      <c r="I5" s="138">
        <f>SUMIFS(Daily!$Z:$Z, Daily!$AB:$AB, "*장은철*", Daily!$I:$I, "Other",Daily!$F:$F,"&lt;&gt;", Daily!B:B,'Weekly Performance'!A2)</f>
        <v>3</v>
      </c>
    </row>
    <row r="6" spans="1:9">
      <c r="A6" s="80" t="s">
        <v>26</v>
      </c>
      <c r="B6" s="136">
        <f>SUMIFS(Daily!$S:$S, Daily!$AB:$AB, "*허준영*", Daily!$I:$I, "수리완료",Daily!$F:$F,"&lt;&gt;",Daily!B:B,'Weekly Performance'!A2)+SUMIFS(Daily!$S:$S, Daily!$AB:$AB, "*허준영*", Daily!$I:$I, "외주수리완료",Daily!$F:$F,"&lt;&gt;",Daily!B:B,'Weekly Performance'!A2)</f>
        <v>10</v>
      </c>
      <c r="C6" s="137">
        <f>SUMIFS(Daily!$Z:$Z, Daily!$AB:$AB, "*허준영*", Daily!$I:$I, "*수리완료",Daily!$F:$F,"&lt;&gt;",Daily!B:B,'Weekly Performance'!A2)+SUMIFS(Daily!$Z:$Z, Daily!$AB:$AB, "*허준영*", Daily!$I:$I, "수리불가",Daily!$F:$F,"&lt;&gt;",Daily!B:B,'Weekly Performance'!A2)+SUMIFS(Daily!$Z:$Z, Daily!$AB:$AB, "*허준영*", Daily!$I:$I, "폐기",Daily!$F:$F,"&lt;&gt;",Daily!B:B,'Weekly Performance'!A2)</f>
        <v>30</v>
      </c>
      <c r="D6" s="156">
        <f>SUMIFS(Daily!W:W, Daily!$AB:$AB,"*허준영*", Daily!$I:$I, "수리완료",Daily!$F:$F,"&lt;&gt;", Daily!B:B,'Weekly Performance'!A2)+SUMIFS(Daily!W:W, Daily!$AB:$AB,"*허준영*", Daily!$I:$I, "외주수리완료",Daily!$F:$F,"&lt;&gt;", Daily!B:B,'Weekly Performance'!A2)</f>
        <v>15200</v>
      </c>
      <c r="E6" s="161">
        <f t="shared" si="0"/>
        <v>13.818181818181818</v>
      </c>
      <c r="F6" s="170">
        <f>SUMIFS(Daily!$S:$S, Daily!$AB:$AB, "*허준영*", Daily!$I:$I, "*수리중")</f>
        <v>0</v>
      </c>
      <c r="G6" s="138">
        <f>SUMIFS(Daily!$Z:$Z, Daily!$AB:$AB, "*허준영*", Daily!$I:$I, "*수리중")</f>
        <v>0</v>
      </c>
      <c r="H6" s="150">
        <f>SUMIFS(Daily!$S:$S, Daily!$AB:$AB, "*허준영*", Daily!$I:$I, "Other", Daily!$F:$F,"&lt;&gt;",Daily!B:B,'Weekly Performance'!A2)</f>
        <v>0</v>
      </c>
      <c r="I6" s="138">
        <f>SUMIFS(Daily!$Z:$Z, Daily!$AB:$AB, "*허준영*", Daily!$I:$I, "Other",Daily!$F:$F,"&lt;&gt;", Daily!B:B,'Weekly Performance'!A2)</f>
        <v>0</v>
      </c>
    </row>
    <row r="7" spans="1:9">
      <c r="A7" s="80" t="s">
        <v>38</v>
      </c>
      <c r="B7" s="136">
        <f>SUMIFS(Daily!$S:$S, Daily!$AB:$AB, "*박병대*", Daily!$I:$I, "수리완료",Daily!$F:$F,"&lt;&gt;",Daily!B:B,'Weekly Performance'!A2)+SUMIFS(Daily!$S:$S, Daily!$AB:$AB, "*박병대*", Daily!$I:$I, "외주수리완료",Daily!$F:$F,"&lt;&gt;",Daily!B:B,'Weekly Performance'!A2)</f>
        <v>0</v>
      </c>
      <c r="C7" s="137">
        <f>SUMIFS(Daily!$Z:$Z, Daily!$AB:$AB, "*박병대*", Daily!$I:$I, "*수리완료",Daily!$F:$F,"&lt;&gt;",Daily!B:B,'Weekly Performance'!A2)+SUMIFS(Daily!$Z:$Z, Daily!$AB:$AB, "*박병대*", Daily!$I:$I, "수리불가",Daily!$F:$F,"&lt;&gt;",Daily!B:B,'Weekly Performance'!A2)+SUMIFS(Daily!$Z:$Z, Daily!$AB:$AB, "*박병대*", Daily!$I:$I, "폐기",Daily!$F:$F,"&lt;&gt;",Daily!B:B,'Weekly Performance'!A2)</f>
        <v>0</v>
      </c>
      <c r="D7" s="156">
        <f>SUMIFS(Daily!W:W, Daily!$AB:$AB,"*박병대*", Daily!$I:$I, "수리완료",Daily!$F:$F,"&lt;&gt;", Daily!B:B,'Weekly Performance'!A2)+SUMIFS(Daily!W:W, Daily!$AB:$AB,"*박병대*", Daily!$I:$I, "외주수리완료",Daily!$F:$F,"&lt;&gt;", Daily!B:B,'Weekly Performance'!A2)</f>
        <v>0</v>
      </c>
      <c r="E7" s="161">
        <f t="shared" si="0"/>
        <v>0</v>
      </c>
      <c r="F7" s="170">
        <f>SUMIFS(Daily!$S:$S, Daily!$AB:$AB, "*박병대*", Daily!$I:$I, "*수리중")</f>
        <v>0</v>
      </c>
      <c r="G7" s="138">
        <f>SUMIFS(Daily!$Z:$Z, Daily!$AB:$AB, "*박병대*", Daily!$I:$I, "*수리중")</f>
        <v>0</v>
      </c>
      <c r="H7" s="150">
        <f>SUMIFS(Daily!$S:$S, Daily!$AB:$AB, "*박병대*", Daily!$I:$I, "Other", Daily!$F:$F,"&lt;&gt;",Daily!B:B,'Weekly Performance'!A2)</f>
        <v>0</v>
      </c>
      <c r="I7" s="138">
        <f>SUMIFS(Daily!$Z:$Z, Daily!$AB:$AB, "*박병대*", Daily!$I:$I, "Other",Daily!$F:$F,"&lt;&gt;", Daily!B:B,'Weekly Performance'!A2)</f>
        <v>0</v>
      </c>
    </row>
    <row r="8" spans="1:9">
      <c r="A8" s="118" t="s">
        <v>42</v>
      </c>
      <c r="B8" s="136">
        <f>SUMIFS(Daily!$S:$S, Daily!$AB:$AB, "*최준영*", Daily!$I:$I, "수리완료",Daily!$F:$F,"&lt;&gt;",Daily!B:B,'Weekly Performance'!A2)+SUMIFS(Daily!$S:$S, Daily!$AB:$AB, "*최준영*", Daily!$I:$I, "외주수리완료",Daily!$F:$F,"&lt;&gt;",Daily!B:B,'Weekly Performance'!A2)</f>
        <v>5</v>
      </c>
      <c r="C8" s="140">
        <f>SUMIFS(Daily!$Z:$Z, Daily!$AB:$AB, "*최준영*", Daily!$I:$I, "*수리완료",Daily!$F:$F,"&lt;&gt;",Daily!B:B,'Weekly Performance'!A2)+SUMIFS(Daily!$Z:$Z, Daily!$AB:$AB, "*최준영*", Daily!$I:$I, "수리불가",Daily!$F:$F,"&lt;&gt;",Daily!B:B,'Weekly Performance'!A2)+SUMIFS(Daily!$Z:$Z, Daily!$AB:$AB, "*최준영*", Daily!$I:$I, "폐기",Daily!$F:$F,"&lt;&gt;",Daily!B:B,'Weekly Performance'!A2)</f>
        <v>12</v>
      </c>
      <c r="D8" s="157">
        <f>SUMIFS(Daily!W:W, Daily!$AB:$AB,"*최준영*", Daily!$I:$I, "수리완료",Daily!$F:$F,"&lt;&gt;", Daily!B:B,'Weekly Performance'!A2)+SUMIFS(Daily!W:W, Daily!$AB:$AB,"*최준영*", Daily!$I:$I, "외주수리완료",Daily!$F:$F,"&lt;&gt;", Daily!B:B,'Weekly Performance'!A2)</f>
        <v>4248</v>
      </c>
      <c r="E8" s="162">
        <f t="shared" si="0"/>
        <v>3.8618181818181818</v>
      </c>
      <c r="F8" s="171">
        <f>SUMIFS(Daily!$S:$S, Daily!$AB:$AB, "*최준영*", Daily!$I:$I, "*수리중")</f>
        <v>4</v>
      </c>
      <c r="G8" s="141">
        <f>SUMIFS(Daily!$Z:$Z, Daily!$AB:$AB, "*최준영*", Daily!$I:$I, "*수리중")</f>
        <v>16</v>
      </c>
      <c r="H8" s="151">
        <f>SUMIFS(Daily!$S:$S, Daily!$AB:$AB, "*최준영*", Daily!$I:$I, "Other", Daily!$F:$F,"&lt;&gt;",Daily!B:B,'Weekly Performance'!A2)</f>
        <v>3</v>
      </c>
      <c r="I8" s="141">
        <f>SUMIFS(Daily!$Z:$Z, Daily!$AB:$AB, "*최준영*", Daily!$I:$I, "Other",Daily!$F:$F,"&lt;&gt;", Daily!B:B,'Weekly Performance'!A2)</f>
        <v>32</v>
      </c>
    </row>
    <row r="9" spans="1:9">
      <c r="A9" s="118" t="s">
        <v>129</v>
      </c>
      <c r="B9" s="136">
        <f>SUMIFS(Daily!$S:$S, Daily!$AB:$AB, "*정기수*", Daily!$I:$I, "수리완료",Daily!$F:$F,"&lt;&gt;",Daily!B:B,'Weekly Performance'!A2)+SUMIFS(Daily!$S:$S, Daily!$AB:$AB, "*정기수*", Daily!$I:$I, "외주수리완료",Daily!$F:$F,"&lt;&gt;",Daily!B:B,'Weekly Performance'!A2)</f>
        <v>1</v>
      </c>
      <c r="C9" s="140">
        <f>SUMIFS(Daily!$Z:$Z, Daily!$AB:$AB, "*정기수*", Daily!$I:$I, "*수리완료",Daily!$F:$F,"&lt;&gt;",Daily!B:B,'Weekly Performance'!A2)+SUMIFS(Daily!$Z:$Z, Daily!$AB:$AB, "*정기수*", Daily!$I:$I, "수리불가",Daily!$F:$F,"&lt;&gt;",Daily!B:B,'Weekly Performance'!A2)+SUMIFS(Daily!$Z:$Z, Daily!$AB:$AB, "*정기수*", Daily!$I:$I, "폐기",Daily!$F:$F,"&lt;&gt;",Daily!B:B,'Weekly Performance'!A2)</f>
        <v>8</v>
      </c>
      <c r="D9" s="157">
        <f>SUMIFS(Daily!W:W, Daily!$AB:$AB,"*정기수*", Daily!$I:$I, "수리완료",Daily!$F:$F,"&lt;&gt;", Daily!B:B,'Weekly Performance'!A2)+SUMIFS(Daily!W:W, Daily!$AB:$AB,"*정기수*", Daily!$I:$I, "외주수리완료",Daily!$F:$F,"&lt;&gt;", Daily!B:B,'Weekly Performance'!A2)</f>
        <v>2495</v>
      </c>
      <c r="E9" s="162">
        <f>D9/1100</f>
        <v>2.2681818181818181</v>
      </c>
      <c r="F9" s="171">
        <f>SUMIFS(Daily!$S:$S, Daily!$AB:$AB, "*정기수*", Daily!$I:$I, "*수리중")</f>
        <v>2</v>
      </c>
      <c r="G9" s="141">
        <f>SUMIFS(Daily!$Z:$Z, Daily!$AB:$AB, "*정기수*", Daily!$I:$I, "*수리중")</f>
        <v>0</v>
      </c>
      <c r="H9" s="151">
        <f>SUMIFS(Daily!$S:$S, Daily!$AB:$AB, "*정기수*", Daily!$I:$I, "Other", Daily!$F:$F,"&lt;&gt;",Daily!B:B,'Weekly Performance'!A2)</f>
        <v>2</v>
      </c>
      <c r="I9" s="141">
        <f>SUMIFS(Daily!$Z:$Z, Daily!$AB:$AB, "*정기수*", Daily!$I:$I, "Other",Daily!$F:$F,"&lt;&gt;", Daily!B:B,'Weekly Performance'!A2)</f>
        <v>16</v>
      </c>
    </row>
    <row r="10" spans="1:9" ht="17.25" hidden="1" thickBot="1">
      <c r="A10" s="81"/>
      <c r="B10" s="142">
        <f>SUMIFS(Daily!$S:$S, Daily!$AB:$AB, "*하주용*", Daily!$I:$I, "수리완료",Daily!$F:$F,"&lt;&gt;",Daily!B:B,'Weekly Performance'!A2)+SUMIFS(Daily!$S:$S, Daily!$AB:$AB, "*하주용*", Daily!$I:$I, "외주수리완료",Daily!$F:$F,"&lt;&gt;",Daily!B:B,'Weekly Performance'!A2)</f>
        <v>0</v>
      </c>
      <c r="C10" s="143">
        <f>SUMIFS(Daily!$Z:$Z, Daily!$AB:$AB, "*하주용*", Daily!$I:$I, "*수리완료",Daily!$F:$F,"&lt;&gt;",Daily!B:B,'Weekly Performance'!A2)+SUMIFS(Daily!$Z:$Z, Daily!$AB:$AB, "*하주용*", Daily!$I:$I, "수리불가",Daily!$F:$F,"&lt;&gt;",Daily!B:B,'Weekly Performance'!A2)+SUMIFS(Daily!$Z:$Z, Daily!$AB:$AB, "*하주용*", Daily!$I:$I, "폐기",Daily!$F:$F,"&lt;&gt;",Daily!B:B,'Weekly Performance'!A2)</f>
        <v>0</v>
      </c>
      <c r="D10" s="158">
        <f>SUMIFS(Daily!W:W, Daily!$AB:$AB,"*하주용*", Daily!$I:$I, "수리완료",Daily!$F:$F,"&lt;&gt;", Daily!B:B,'Weekly Performance'!A2)+SUMIFS(Daily!W:W, Daily!$AB:$AB,"*하주용*", Daily!$I:$I, "외주수리완료",Daily!$F:$F,"&lt;&gt;", Daily!B:B,'Weekly Performance'!A2)</f>
        <v>0</v>
      </c>
      <c r="E10" s="163">
        <f t="shared" si="0"/>
        <v>0</v>
      </c>
      <c r="F10" s="172">
        <f>SUMIFS(Daily!$S:$S, Daily!$AB:$AB, "*하주용*", Daily!$I:$I, "*수리중",Daily!B:B,'Weekly Performance'!A2)</f>
        <v>0</v>
      </c>
      <c r="G10" s="144">
        <f>SUMIFS(Daily!$Z:$Z, Daily!$AB:$AB, "*하주용*", Daily!$I:$I, "*수리중",Daily!B:B,'Weekly Performance'!A2)</f>
        <v>0</v>
      </c>
      <c r="H10" s="152">
        <f>SUMIFS(Daily!$S:$S, Daily!$AB:$AB, "*하주용*", Daily!$I:$I, "Other", Daily!$F:$F,"&lt;&gt;",Daily!B:B,'Weekly Performance'!A2)</f>
        <v>0</v>
      </c>
      <c r="I10" s="144">
        <f>SUMIFS(Daily!$Z:$Z, Daily!$AB:$AB, "*하주용*", Daily!$I:$I, "Other",Daily!$F:$F,"&lt;&gt;", Daily!B:B,'Weekly Performance'!A2)</f>
        <v>0</v>
      </c>
    </row>
    <row r="11" spans="1:9" ht="17.25" thickBot="1">
      <c r="A11" s="131" t="s">
        <v>75</v>
      </c>
      <c r="B11" s="145">
        <f>SUM(B4:B10)</f>
        <v>25</v>
      </c>
      <c r="C11" s="146">
        <f t="shared" ref="C11:I11" si="1">SUM(C4:C10)</f>
        <v>76</v>
      </c>
      <c r="D11" s="159">
        <f t="shared" si="1"/>
        <v>34098</v>
      </c>
      <c r="E11" s="164">
        <f>SUM(E4:E10)</f>
        <v>30.99818181818182</v>
      </c>
      <c r="F11" s="173">
        <f t="shared" si="1"/>
        <v>18</v>
      </c>
      <c r="G11" s="147">
        <f t="shared" si="1"/>
        <v>21</v>
      </c>
      <c r="H11" s="153">
        <f t="shared" si="1"/>
        <v>6</v>
      </c>
      <c r="I11" s="147">
        <f t="shared" si="1"/>
        <v>51</v>
      </c>
    </row>
    <row r="12" spans="1:9">
      <c r="C12" s="148"/>
      <c r="D12" s="132"/>
      <c r="E12" s="132"/>
    </row>
    <row r="73" spans="4:28">
      <c r="S73">
        <v>1</v>
      </c>
      <c r="T73">
        <v>710</v>
      </c>
      <c r="AB73" t="s">
        <v>275</v>
      </c>
    </row>
    <row r="74" spans="4:28">
      <c r="S74">
        <v>1</v>
      </c>
      <c r="T74">
        <v>710</v>
      </c>
      <c r="AB74" t="s">
        <v>275</v>
      </c>
    </row>
    <row r="75" spans="4:28">
      <c r="D75" s="82" t="s">
        <v>282</v>
      </c>
      <c r="E75" s="82">
        <v>44202</v>
      </c>
      <c r="I75" t="s">
        <v>277</v>
      </c>
      <c r="J75" s="9" t="s">
        <v>142</v>
      </c>
      <c r="K75" s="10" t="s">
        <v>158</v>
      </c>
      <c r="L75" s="11" t="str">
        <f t="shared" ref="L75" si="2">LEFT(K75,3)</f>
        <v>1T3</v>
      </c>
      <c r="N75" t="s">
        <v>283</v>
      </c>
      <c r="O75" t="s">
        <v>152</v>
      </c>
      <c r="S75">
        <v>1</v>
      </c>
      <c r="T75">
        <v>1600</v>
      </c>
    </row>
    <row r="76" spans="4:28">
      <c r="D76" s="82" t="s">
        <v>284</v>
      </c>
      <c r="E76" s="82">
        <v>44202</v>
      </c>
    </row>
  </sheetData>
  <mergeCells count="5">
    <mergeCell ref="A1:I1"/>
    <mergeCell ref="A2:A3"/>
    <mergeCell ref="F2:G2"/>
    <mergeCell ref="H2:I2"/>
    <mergeCell ref="B2:E2"/>
  </mergeCells>
  <phoneticPr fontId="3" type="noConversion"/>
  <dataValidations disablePrompts="1" count="2">
    <dataValidation type="list" allowBlank="1" showInputMessage="1" showErrorMessage="1" sqref="K75" xr:uid="{00000000-0002-0000-0200-000000000000}">
      <formula1>"1T1P,1T2P,1T3P,1T4P,2T1P,2T2P,2T3P,2T4P,3T1P,3T2P,3T3P,3T4P,3T5P,5T1P,5T2P,5T3P,6T1P,6T2P,6T3P,ATP,ATT,ATC,ATM,EE1,EE2,Other,QA,K5,Bump1,PM,ATJ"</formula1>
    </dataValidation>
    <dataValidation type="list" allowBlank="1" showInputMessage="1" showErrorMessage="1" sqref="J75" xr:uid="{00000000-0002-0000-0200-000001000000}">
      <formula1>"A,B,C,G,F,P,EE,Bump,Other,QA,K5,ATT,ATP,ATC,ATM,ICS,PM,ATJ"</formula1>
    </dataValidation>
  </dataValidations>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6"/>
  <dimension ref="A1:G21"/>
  <sheetViews>
    <sheetView zoomScale="115" zoomScaleNormal="115" workbookViewId="0">
      <selection activeCell="I7" sqref="I7"/>
    </sheetView>
  </sheetViews>
  <sheetFormatPr defaultRowHeight="16.5"/>
  <cols>
    <col min="1" max="3" width="11.625" customWidth="1"/>
    <col min="4" max="4" width="16.625" style="82" customWidth="1"/>
    <col min="5" max="5" width="8.625" style="82" customWidth="1"/>
    <col min="6" max="7" width="12.625" customWidth="1"/>
  </cols>
  <sheetData>
    <row r="1" spans="1:7" ht="32.25" thickBot="1">
      <c r="A1" s="223" t="s">
        <v>88</v>
      </c>
      <c r="B1" s="224"/>
      <c r="C1" s="224"/>
      <c r="D1" s="224"/>
      <c r="E1" s="224"/>
      <c r="F1" s="224"/>
      <c r="G1" s="224"/>
    </row>
    <row r="2" spans="1:7" ht="17.25" thickBot="1">
      <c r="A2" s="225">
        <v>1</v>
      </c>
      <c r="B2" s="218" t="s">
        <v>83</v>
      </c>
      <c r="C2" s="222"/>
      <c r="D2" s="222"/>
      <c r="E2" s="219"/>
      <c r="F2" s="218" t="s">
        <v>30</v>
      </c>
      <c r="G2" s="219"/>
    </row>
    <row r="3" spans="1:7" ht="17.25" thickBot="1">
      <c r="A3" s="225"/>
      <c r="B3" s="165" t="s">
        <v>85</v>
      </c>
      <c r="C3" s="166" t="s">
        <v>86</v>
      </c>
      <c r="D3" s="167" t="s">
        <v>87</v>
      </c>
      <c r="E3" s="154" t="s">
        <v>119</v>
      </c>
      <c r="F3" s="168" t="s">
        <v>85</v>
      </c>
      <c r="G3" s="174" t="s">
        <v>86</v>
      </c>
    </row>
    <row r="4" spans="1:7">
      <c r="A4" s="79" t="s">
        <v>32</v>
      </c>
      <c r="B4" s="133">
        <f>SUMIFS(Daily!$S:$S, Daily!$AB:$AB, "*강영구*", Daily!$I:$I, "수리완료",Daily!$F:$F,"&lt;&gt;",Daily!G:G,'Monthly Performance'!A2)+SUMIFS(Daily!$S:$S, Daily!$AB:$AB, "*강영구*", Daily!$I:$I, "외주수리완료",Daily!$F:$F,"&lt;&gt;",Daily!G:G,'Monthly Performance'!A2)</f>
        <v>23</v>
      </c>
      <c r="C4" s="134">
        <f>SUMIFS(Daily!$Z:$Z, Daily!$AB:$AB, "*강영구*", Daily!$I:$I, "*수리완료",Daily!$F:$F,"&lt;&gt;", Daily!G:G,'Monthly Performance'!A2)+SUMIFS(Daily!$Z:$Z, Daily!$AB:$AB, "*강영구*", Daily!$I:$I, "폐기",Daily!$F:$F,"&lt;&gt;", Daily!G:G,'Monthly Performance'!A2)+SUMIFS(Daily!$Z:$Z, Daily!$AB:$AB, "*강영구*", Daily!$I:$I, "수리불가",Daily!$F:$F,"&lt;&gt;", Daily!G:G,'Monthly Performance'!A2)</f>
        <v>84</v>
      </c>
      <c r="D4" s="155">
        <f>SUMIFS(Daily!W:W, Daily!$AB:$AB,"*강영구*", Daily!$I:$I, "수리완료",Daily!$F:$F,"&lt;&gt;", Daily!G:G,'Monthly Performance'!A2)+SUMIFS(Daily!W:W, Daily!$AB:$AB,"*강영구*", Daily!$I:$I, "외주수리완료",Daily!$F:$F,"&lt;&gt;", Daily!G:G,'Monthly Performance'!A2)</f>
        <v>10462</v>
      </c>
      <c r="E4" s="160">
        <f t="shared" ref="E4:E9" si="0">D4/1100</f>
        <v>9.5109090909090916</v>
      </c>
      <c r="F4" s="169">
        <f>SUMIFS(Daily!$S:$S, Daily!$AB:$AB, "*강영구*", Daily!$I:$I, "Other", Daily!$F:$F,"&lt;&gt;",Daily!G:G,'Monthly Performance'!A2)</f>
        <v>0</v>
      </c>
      <c r="G4" s="135">
        <f>SUMIFS(Daily!$Z:$Z, Daily!$AB:$AB, "*강영구*", Daily!$I:$I, "Other",Daily!$F:$F,"&lt;&gt;", Daily!G:G,'Monthly Performance'!A2)</f>
        <v>0</v>
      </c>
    </row>
    <row r="5" spans="1:7">
      <c r="A5" s="80" t="s">
        <v>29</v>
      </c>
      <c r="B5" s="136">
        <f>SUMIFS(Daily!$S:$S, Daily!$AB:$AB, "*장은철*", Daily!$I:$I, "수리완료",Daily!$F:$F,"&lt;&gt;",Daily!G:G,'Monthly Performance'!A2)+SUMIFS(Daily!$S:$S, Daily!$AB:$AB, "*장은철*", Daily!$I:$I, "외주수리완료",Daily!$F:$F,"&lt;&gt;",Daily!G:G,'Monthly Performance'!A2)</f>
        <v>42</v>
      </c>
      <c r="C5" s="137">
        <f>SUMIFS(Daily!$Z:$Z, Daily!$AB:$AB, "*장은철*", Daily!$I:$I, "*수리완료",Daily!$F:$F,"&lt;&gt;", Daily!G:G,'Monthly Performance'!A2)+SUMIFS(Daily!$Z:$Z, Daily!$AB:$AB, "*장은철*", Daily!$I:$I, "폐기",Daily!$F:$F,"&lt;&gt;", Daily!G:G,'Monthly Performance'!A2)+SUMIFS(Daily!$Z:$Z, Daily!$AB:$AB, "*장은철*", Daily!$I:$I, "수리불가",Daily!$F:$F,"&lt;&gt;", Daily!G:G,'Monthly Performance'!A2)</f>
        <v>57</v>
      </c>
      <c r="D5" s="156">
        <f>SUMIFS(Daily!W:W, Daily!$AB:$AB,"*장은철*", Daily!$I:$I, "수리완료",Daily!$F:$F,"&lt;&gt;", Daily!G:G,'Monthly Performance'!A2)+SUMIFS(Daily!W:W, Daily!$AB:$AB,"*장은철*", Daily!$I:$I, "외주수리완료",Daily!$F:$F,"&lt;&gt;", Daily!G:G,'Monthly Performance'!A2)</f>
        <v>72968</v>
      </c>
      <c r="E5" s="161">
        <f t="shared" si="0"/>
        <v>66.334545454545449</v>
      </c>
      <c r="F5" s="170">
        <f>SUMIFS(Daily!$S:$S, Daily!$AB:$AB, "*장은철*", Daily!$I:$I, "Other", Daily!$F:$F,"&lt;&gt;",Daily!G:G,'Monthly Performance'!A2)</f>
        <v>3</v>
      </c>
      <c r="G5" s="138">
        <f>SUMIFS(Daily!$Z:$Z, Daily!$AB:$AB, "*장은철*", Daily!$I:$I, "Other",Daily!$F:$F,"&lt;&gt;", Daily!G:G,'Monthly Performance'!A2)</f>
        <v>8</v>
      </c>
    </row>
    <row r="6" spans="1:7">
      <c r="A6" s="80" t="s">
        <v>26</v>
      </c>
      <c r="B6" s="136">
        <f>SUMIFS(Daily!$S:$S, Daily!$AB:$AB, "*허준영*", Daily!$I:$I, "수리완료",Daily!$F:$F,"&lt;&gt;",Daily!G:G,'Monthly Performance'!A2)+SUMIFS(Daily!$S:$S, Daily!$AB:$AB, "*허준영*", Daily!$I:$I, "외주수리완료",Daily!$F:$F,"&lt;&gt;",Daily!G:G,'Monthly Performance'!A2)</f>
        <v>31</v>
      </c>
      <c r="C6" s="137">
        <f>SUMIFS(Daily!$Z:$Z, Daily!$AB:$AB, "*허준영*", Daily!$I:$I, "*수리완료",Daily!$F:$F,"&lt;&gt;", Daily!G:G,'Monthly Performance'!A2)+SUMIFS(Daily!$Z:$Z, Daily!$AB:$AB, "*허준영*", Daily!$I:$I, "폐기",Daily!$F:$F,"&lt;&gt;", Daily!G:G,'Monthly Performance'!A2)+SUMIFS(Daily!$Z:$Z, Daily!$AB:$AB, "*허준영*", Daily!$I:$I, "수리불가",Daily!$F:$F,"&lt;&gt;", Daily!G:G,'Monthly Performance'!A2)</f>
        <v>87</v>
      </c>
      <c r="D6" s="156">
        <f>SUMIFS(Daily!W:W, Daily!$AB:$AB,"*허준영*", Daily!$I:$I, "수리완료",Daily!$F:$F,"&lt;&gt;", Daily!G:G,'Monthly Performance'!A2)+SUMIFS(Daily!W:W, Daily!$AB:$AB,"*허준영*", Daily!$I:$I, "외주수리완료",Daily!$F:$F,"&lt;&gt;", Daily!G:G,'Monthly Performance'!A2)</f>
        <v>46938</v>
      </c>
      <c r="E6" s="161">
        <f t="shared" si="0"/>
        <v>42.670909090909092</v>
      </c>
      <c r="F6" s="170">
        <f>SUMIFS(Daily!$S:$S, Daily!$AB:$AB, "*허준영*", Daily!$I:$I, "Other", Daily!$F:$F,"&lt;&gt;",Daily!G:G,'Monthly Performance'!A2)</f>
        <v>2</v>
      </c>
      <c r="G6" s="138">
        <f>SUMIFS(Daily!$Z:$Z, Daily!$AB:$AB, "*허준영*", Daily!$I:$I, "Other",Daily!$F:$F,"&lt;&gt;", Daily!G:G,'Monthly Performance'!A2)</f>
        <v>6</v>
      </c>
    </row>
    <row r="7" spans="1:7">
      <c r="A7" s="80" t="s">
        <v>38</v>
      </c>
      <c r="B7" s="136">
        <f>SUMIFS(Daily!$S:$S, Daily!$AB:$AB, "*박병대*", Daily!$I:$I, "수리완료",Daily!$F:$F,"&lt;&gt;",Daily!G:G,'Monthly Performance'!A2)+SUMIFS(Daily!$S:$S, Daily!$AB:$AB, "*박병대*", Daily!$I:$I, "외주수리완료",Daily!$F:$F,"&lt;&gt;",Daily!G:G,'Monthly Performance'!A2)</f>
        <v>0</v>
      </c>
      <c r="C7" s="137">
        <f>SUMIFS(Daily!$Z:$Z, Daily!$AB:$AB, "*박병대*", Daily!$I:$I, "*수리완료",Daily!$F:$F,"&lt;&gt;", Daily!G:G,'Monthly Performance'!A2)+SUMIFS(Daily!$Z:$Z, Daily!$AB:$AB, "*박병대*", Daily!$I:$I, "폐기",Daily!$F:$F,"&lt;&gt;", Daily!G:G,'Monthly Performance'!A2)+SUMIFS(Daily!$Z:$Z, Daily!$AB:$AB, "*박병대*", Daily!$I:$I, "수리불가",Daily!$F:$F,"&lt;&gt;", Daily!G:G,'Monthly Performance'!A2)</f>
        <v>0</v>
      </c>
      <c r="D7" s="156">
        <f>SUMIFS(Daily!W:W, Daily!$AB:$AB,"*박병대*", Daily!$I:$I, "수리완료",Daily!$F:$F,"&lt;&gt;", Daily!G:G,'Monthly Performance'!A2)+SUMIFS(Daily!W:W, Daily!$AB:$AB,"*박병대*", Daily!$I:$I, "외주수리완료",Daily!$F:$F,"&lt;&gt;", Daily!G:G,'Monthly Performance'!A2)</f>
        <v>0</v>
      </c>
      <c r="E7" s="161">
        <f t="shared" si="0"/>
        <v>0</v>
      </c>
      <c r="F7" s="170">
        <f>SUMIFS(Daily!$S:$S, Daily!$AB:$AB, "*박병대*", Daily!$I:$I, "Other", Daily!$F:$F,"&lt;&gt;",Daily!G:G,'Monthly Performance'!A2)</f>
        <v>0</v>
      </c>
      <c r="G7" s="138">
        <f>SUMIFS(Daily!$Z:$Z, Daily!$AB:$AB, "*박병대*", Daily!$I:$I, "Other",Daily!$F:$F,"&lt;&gt;", Daily!G:G,'Monthly Performance'!A2)</f>
        <v>0</v>
      </c>
    </row>
    <row r="8" spans="1:7">
      <c r="A8" s="118" t="s">
        <v>113</v>
      </c>
      <c r="B8" s="139">
        <f>SUMIFS(Daily!$S:$S, Daily!$AB:$AB, "*최준영*", Daily!$I:$I, "수리완료",Daily!$F:$F,"&lt;&gt;",Daily!G:G,'Monthly Performance'!A2)+SUMIFS(Daily!$S:$S, Daily!$AB:$AB, "*최준영*", Daily!$I:$I, "외주수리완료",Daily!$F:$F,"&lt;&gt;",Daily!G:G,'Monthly Performance'!A2)</f>
        <v>24</v>
      </c>
      <c r="C8" s="140">
        <f>SUMIFS(Daily!$Z:$Z, Daily!$AB:$AB, "*최준영*", Daily!$I:$I, "*수리완료",Daily!$F:$F,"&lt;&gt;", Daily!G:G,'Monthly Performance'!A2)+SUMIFS(Daily!$Z:$Z, Daily!$AB:$AB, "*최준영*", Daily!$I:$I, "폐기",Daily!$F:$F,"&lt;&gt;", Daily!G:G,'Monthly Performance'!A2)+SUMIFS(Daily!$Z:$Z, Daily!$AB:$AB, "*최준영*", Daily!$I:$I, "수리불가",Daily!$F:$F,"&lt;&gt;", Daily!G:G,'Monthly Performance'!A2)</f>
        <v>77</v>
      </c>
      <c r="D8" s="157">
        <f>SUMIFS(Daily!W:W, Daily!$AB:$AB,"*최준영*", Daily!$I:$I, "수리완료",Daily!$F:$F,"&lt;&gt;", Daily!G:G,'Monthly Performance'!A2)+SUMIFS(Daily!W:W, Daily!$AB:$AB,"*최준영*", Daily!$I:$I, "외주수리완료",Daily!$F:$F,"&lt;&gt;", Daily!G:G,'Monthly Performance'!A2)</f>
        <v>10545</v>
      </c>
      <c r="E8" s="162">
        <f t="shared" si="0"/>
        <v>9.586363636363636</v>
      </c>
      <c r="F8" s="171">
        <f>SUMIFS(Daily!$S:$S, Daily!$AB:$AB, "*최준영*", Daily!$I:$I, "Other", Daily!$F:$F,"&lt;&gt;",Daily!G:G,'Monthly Performance'!A2)</f>
        <v>3</v>
      </c>
      <c r="G8" s="141">
        <f>SUMIFS(Daily!$Z:$Z, Daily!$AB:$AB, "*최준영*", Daily!$I:$I, "Other",Daily!$F:$F,"&lt;&gt;", Daily!G:G,'Monthly Performance'!A2)</f>
        <v>32</v>
      </c>
    </row>
    <row r="9" spans="1:7">
      <c r="A9" s="118" t="s">
        <v>130</v>
      </c>
      <c r="B9" s="139">
        <f>SUMIFS(Daily!$S:$S, Daily!$AB:$AB, "*정기수*", Daily!$I:$I, "수리완료",Daily!$F:$F,"&lt;&gt;",Daily!G:G,'Monthly Performance'!A2)+SUMIFS(Daily!$S:$S, Daily!$AB:$AB, "*정기수*", Daily!$I:$I, "외주수리완료",Daily!$F:$F,"&lt;&gt;",Daily!G:G,'Monthly Performance'!A2)</f>
        <v>37</v>
      </c>
      <c r="C9" s="140">
        <f>SUMIFS(Daily!$Z:$Z, Daily!$AB:$AB, "*정기수*", Daily!$I:$I, "*수리완료",Daily!$F:$F,"&lt;&gt;", Daily!G:G,'Monthly Performance'!A2)+SUMIFS(Daily!$Z:$Z, Daily!$AB:$AB, "*정기수*", Daily!$I:$I, "폐기",Daily!$F:$F,"&lt;&gt;", Daily!G:G,'Monthly Performance'!A2)+SUMIFS(Daily!$Z:$Z, Daily!$AB:$AB, "*정기수*", Daily!$I:$I, "수리불가",Daily!$F:$F,"&lt;&gt;", Daily!G:G,'Monthly Performance'!A2)</f>
        <v>63</v>
      </c>
      <c r="D9" s="157">
        <f>SUMIFS(Daily!W:W, Daily!$AB:$AB,"*정기수*", Daily!$I:$I, "수리완료",Daily!$F:$F,"&lt;&gt;", Daily!G:G,'Monthly Performance'!A2)+SUMIFS(Daily!W:W, Daily!$AB:$AB,"*정기수*", Daily!$I:$I, "외주수리완료",Daily!$F:$F,"&lt;&gt;", Daily!G:G,'Monthly Performance'!A2)</f>
        <v>35399.5</v>
      </c>
      <c r="E9" s="162">
        <f t="shared" si="0"/>
        <v>32.181363636363635</v>
      </c>
      <c r="F9" s="171">
        <f>SUMIFS(Daily!$S:$S, Daily!$AB:$AB, "*정기수*", Daily!$I:$I, "Other", Daily!$F:$F,"&lt;&gt;",Daily!G:G,'Monthly Performance'!A2)</f>
        <v>4</v>
      </c>
      <c r="G9" s="141">
        <f>SUMIFS(Daily!$Z:$Z, Daily!$AB:$AB, "*정기수*", Daily!$I:$I, "Other",Daily!$F:$F,"&lt;&gt;", Daily!G:G,'Monthly Performance'!A2)</f>
        <v>21</v>
      </c>
    </row>
    <row r="10" spans="1:7" ht="17.25" thickBot="1">
      <c r="A10" s="131" t="s">
        <v>75</v>
      </c>
      <c r="B10" s="145">
        <f t="shared" ref="B10:G10" si="1">SUM(B4:B9)</f>
        <v>157</v>
      </c>
      <c r="C10" s="146">
        <f t="shared" si="1"/>
        <v>368</v>
      </c>
      <c r="D10" s="159">
        <f t="shared" si="1"/>
        <v>176312.5</v>
      </c>
      <c r="E10" s="164">
        <f t="shared" si="1"/>
        <v>160.28409090909091</v>
      </c>
      <c r="F10" s="173">
        <f t="shared" si="1"/>
        <v>12</v>
      </c>
      <c r="G10" s="147">
        <f t="shared" si="1"/>
        <v>67</v>
      </c>
    </row>
    <row r="21" ht="17.25" customHeight="1"/>
  </sheetData>
  <mergeCells count="4">
    <mergeCell ref="A1:G1"/>
    <mergeCell ref="A2:A3"/>
    <mergeCell ref="F2:G2"/>
    <mergeCell ref="B2:E2"/>
  </mergeCells>
  <phoneticPr fontId="3" type="noConversion"/>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7"/>
  <dimension ref="A1:G10"/>
  <sheetViews>
    <sheetView topLeftCell="A7" zoomScale="115" zoomScaleNormal="115" workbookViewId="0">
      <selection activeCell="J12" sqref="J12"/>
    </sheetView>
  </sheetViews>
  <sheetFormatPr defaultRowHeight="16.5"/>
  <cols>
    <col min="1" max="3" width="11.625" customWidth="1"/>
    <col min="4" max="4" width="16.625" style="82" customWidth="1"/>
    <col min="5" max="5" width="8.625" style="82" customWidth="1"/>
    <col min="6" max="7" width="12.625" customWidth="1"/>
  </cols>
  <sheetData>
    <row r="1" spans="1:7" ht="32.25" thickBot="1">
      <c r="A1" s="223" t="s">
        <v>137</v>
      </c>
      <c r="B1" s="224"/>
      <c r="C1" s="224"/>
      <c r="D1" s="224"/>
      <c r="E1" s="224"/>
      <c r="F1" s="224"/>
      <c r="G1" s="224"/>
    </row>
    <row r="2" spans="1:7" ht="17.25" thickBot="1">
      <c r="A2" s="226">
        <v>2021</v>
      </c>
      <c r="B2" s="218" t="s">
        <v>89</v>
      </c>
      <c r="C2" s="222"/>
      <c r="D2" s="222"/>
      <c r="E2" s="219"/>
      <c r="F2" s="218" t="s">
        <v>30</v>
      </c>
      <c r="G2" s="219"/>
    </row>
    <row r="3" spans="1:7" ht="17.25" thickBot="1">
      <c r="A3" s="226"/>
      <c r="B3" s="165" t="s">
        <v>85</v>
      </c>
      <c r="C3" s="166" t="s">
        <v>86</v>
      </c>
      <c r="D3" s="167" t="s">
        <v>87</v>
      </c>
      <c r="E3" s="154" t="s">
        <v>119</v>
      </c>
      <c r="F3" s="168" t="s">
        <v>85</v>
      </c>
      <c r="G3" s="174" t="s">
        <v>86</v>
      </c>
    </row>
    <row r="4" spans="1:7">
      <c r="A4" s="79" t="s">
        <v>32</v>
      </c>
      <c r="B4" s="133">
        <f>SUMIFS(Daily!$S:$S, Daily!$AB:$AB, "*강영구*", Daily!$I:$I, "*수리완료",Daily!$F:$F,"&lt;&gt;")</f>
        <v>53</v>
      </c>
      <c r="C4" s="134">
        <f>SUMIFS(Daily!$Z:$Z, Daily!$AB:$AB, "*강영구*", Daily!$I:$I, "수리완료",Daily!$F:$F,"&lt;&gt;")+SUMIFS(Daily!$Z:$Z, Daily!$AB:$AB, "*강영구*", Daily!$I:$I, "폐기",Daily!$F:$F,"&lt;&gt;")+SUMIFS(Daily!$Z:$Z, Daily!$AB:$AB, "*강영구*", Daily!$I:$I, "수리불가",Daily!$F:$F,"&lt;&gt;")</f>
        <v>205</v>
      </c>
      <c r="D4" s="155">
        <f>SUMIFS(Daily!W:W, Daily!$AB:$AB,"*강영구*", Daily!$I:$I, "*수리완료",Daily!$F:$F,"&lt;&gt;")</f>
        <v>26247</v>
      </c>
      <c r="E4" s="160">
        <f t="shared" ref="E4:E9" si="0">D4/1100</f>
        <v>23.86090909090909</v>
      </c>
      <c r="F4" s="169">
        <f>SUMIFS(Daily!$S:$S, Daily!$AB:$AB, "*강영구*", Daily!$I:$I, "Other", Daily!$F:$F,"&lt;&gt;")</f>
        <v>0</v>
      </c>
      <c r="G4" s="135">
        <f>SUMIFS(Daily!$Z:$Z, Daily!$AB:$AB, "*강영구*", Daily!$I:$I, "Other",Daily!$F:$F,"&lt;&gt;")</f>
        <v>0</v>
      </c>
    </row>
    <row r="5" spans="1:7">
      <c r="A5" s="80" t="s">
        <v>29</v>
      </c>
      <c r="B5" s="136">
        <f>SUMIFS(Daily!$S:$S, Daily!$AB:$AB, "*장은철*", Daily!$I:$I, "*수리완료",Daily!$F:$F,"&lt;&gt;")</f>
        <v>86</v>
      </c>
      <c r="C5" s="137">
        <f>SUMIFS(Daily!$Z:$Z, Daily!$AB:$AB, "*장은철*", Daily!$I:$I, "수리완료",Daily!$F:$F,"&lt;&gt;")+SUMIFS(Daily!$Z:$Z, Daily!$AB:$AB, "*장은철*", Daily!$I:$I, "폐기",Daily!$F:$F,"&lt;&gt;")+SUMIFS(Daily!$Z:$Z, Daily!$AB:$AB, "*장은철*", Daily!$I:$I, "수리불가",Daily!$F:$F,"&lt;&gt;")</f>
        <v>164</v>
      </c>
      <c r="D5" s="156">
        <f>SUMIFS(Daily!W:W, Daily!$AB:$AB,"*장은철*", Daily!$I:$I, "*수리완료",Daily!$F:$F,"&lt;&gt;")</f>
        <v>186959</v>
      </c>
      <c r="E5" s="161">
        <f t="shared" si="0"/>
        <v>169.96272727272728</v>
      </c>
      <c r="F5" s="170">
        <f>SUMIFS(Daily!$S:$S, Daily!$AB:$AB, "*장은철*", Daily!$I:$I, "Other", Daily!$F:$F,"&lt;&gt;")</f>
        <v>5</v>
      </c>
      <c r="G5" s="138">
        <f>SUMIFS(Daily!$Z:$Z, Daily!$AB:$AB, "*장은철*", Daily!$I:$I, "Other",Daily!$F:$F,"&lt;&gt;")</f>
        <v>12</v>
      </c>
    </row>
    <row r="6" spans="1:7">
      <c r="A6" s="80" t="s">
        <v>26</v>
      </c>
      <c r="B6" s="136">
        <f>SUMIFS(Daily!$S:$S, Daily!$AB:$AB, "*허준영*", Daily!$I:$I, "*수리완료",Daily!$F:$F,"&lt;&gt;")</f>
        <v>60</v>
      </c>
      <c r="C6" s="137">
        <f>SUMIFS(Daily!$Z:$Z, Daily!$AB:$AB, "*허준영*", Daily!$I:$I, "수리완료",Daily!$F:$F,"&lt;&gt;")+SUMIFS(Daily!$Z:$Z, Daily!$AB:$AB, "*허준영*", Daily!$I:$I, "폐기",Daily!$F:$F,"&lt;&gt;")+SUMIFS(Daily!$Z:$Z, Daily!$AB:$AB, "*허준영*", Daily!$I:$I, "수리불가",Daily!$F:$F,"&lt;&gt;")</f>
        <v>198</v>
      </c>
      <c r="D6" s="156">
        <f>SUMIFS(Daily!W:W, Daily!$AB:$AB,"*허준영*", Daily!$I:$I, "*수리완료",Daily!$F:$F,"&lt;&gt;")</f>
        <v>87859</v>
      </c>
      <c r="E6" s="161">
        <f t="shared" si="0"/>
        <v>79.871818181818185</v>
      </c>
      <c r="F6" s="170">
        <f>SUMIFS(Daily!$S:$S, Daily!$AB:$AB, "*허준영*", Daily!$I:$I, "Other", Daily!$F:$F,"&lt;&gt;")</f>
        <v>8</v>
      </c>
      <c r="G6" s="138">
        <f>SUMIFS(Daily!$Z:$Z, Daily!$AB:$AB, "*허준영*", Daily!$I:$I, "Other",Daily!$F:$F,"&lt;&gt;")</f>
        <v>17</v>
      </c>
    </row>
    <row r="7" spans="1:7">
      <c r="A7" s="80" t="s">
        <v>38</v>
      </c>
      <c r="B7" s="136">
        <f>SUMIFS(Daily!$S:$S, Daily!$AB:$AB, "*박병대*", Daily!$I:$I, "*수리완료",Daily!$F:$F,"&lt;&gt;")</f>
        <v>0</v>
      </c>
      <c r="C7" s="137">
        <f>SUMIFS(Daily!$Z:$Z, Daily!$AB:$AB, "*박병대*", Daily!$I:$I, "수리완료",Daily!$F:$F,"&lt;&gt;")+SUMIFS(Daily!$Z:$Z, Daily!$AB:$AB, "*박병대*", Daily!$I:$I, "폐기",Daily!$F:$F,"&lt;&gt;")+SUMIFS(Daily!$Z:$Z, Daily!$AB:$AB, "*박병대*", Daily!$I:$I, "수리불가",Daily!$F:$F,"&lt;&gt;")</f>
        <v>0</v>
      </c>
      <c r="D7" s="156">
        <f>SUMIFS(Daily!W:W, Daily!$AB:$AB,"*박병대*", Daily!$I:$I, "*수리완료",Daily!$F:$F,"&lt;&gt;")</f>
        <v>0</v>
      </c>
      <c r="E7" s="161">
        <f t="shared" si="0"/>
        <v>0</v>
      </c>
      <c r="F7" s="170">
        <f>SUMIFS(Daily!$S:$S, Daily!$AB:$AB, "*박병대*", Daily!$I:$I, "Other", Daily!$F:$F,"&lt;&gt;")</f>
        <v>0</v>
      </c>
      <c r="G7" s="138">
        <f>SUMIFS(Daily!$Z:$Z, Daily!$AB:$AB, "*박병대*", Daily!$I:$I, "Other",Daily!$F:$F,"&lt;&gt;")</f>
        <v>0</v>
      </c>
    </row>
    <row r="8" spans="1:7">
      <c r="A8" s="118" t="s">
        <v>113</v>
      </c>
      <c r="B8" s="139">
        <f>SUMIFS(Daily!$S:$S, Daily!$AB:$AB, "*최준영*", Daily!$I:$I, "*수리완료",Daily!$F:$F,"&lt;&gt;")</f>
        <v>53</v>
      </c>
      <c r="C8" s="140">
        <f>SUMIFS(Daily!$Z:$Z, Daily!$AB:$AB, "*최준영*", Daily!$I:$I, "수리완료",Daily!$F:$F,"&lt;&gt;")+SUMIFS(Daily!$Z:$Z, Daily!$AB:$AB, "*최준영*", Daily!$I:$I, "폐기",Daily!$F:$F,"&lt;&gt;")+SUMIFS(Daily!$Z:$Z, Daily!$AB:$AB, "*최준영*", Daily!$I:$I, "수리불가",Daily!$F:$F,"&lt;&gt;")</f>
        <v>206</v>
      </c>
      <c r="D8" s="157">
        <f>SUMIFS(Daily!W:W, Daily!$AB:$AB,"*최준영*", Daily!$I:$I, "*수리완료",Daily!$F:$F,"&lt;&gt;")</f>
        <v>35881</v>
      </c>
      <c r="E8" s="162">
        <f t="shared" si="0"/>
        <v>32.619090909090907</v>
      </c>
      <c r="F8" s="171">
        <f>SUMIFS(Daily!$S:$S, Daily!$AB:$AB, "*최준영*", Daily!$I:$I, "Other", Daily!$F:$F,"&lt;&gt;")</f>
        <v>3</v>
      </c>
      <c r="G8" s="141">
        <f>SUMIFS(Daily!$Z:$Z, Daily!$AB:$AB, "*최준영*", Daily!$I:$I, "Other",Daily!$F:$F,"&lt;&gt;")</f>
        <v>40</v>
      </c>
    </row>
    <row r="9" spans="1:7">
      <c r="A9" s="118" t="s">
        <v>130</v>
      </c>
      <c r="B9" s="139">
        <f>SUMIFS(Daily!$S:$S, Daily!$AB:$AB, "*정기수*", Daily!$I:$I, "*수리완료",Daily!$F:$F,"&lt;&gt;")</f>
        <v>91</v>
      </c>
      <c r="C9" s="140">
        <f>SUMIFS(Daily!$Z:$Z, Daily!$AB:$AB, "*정기수*", Daily!$I:$I, "수리완료",Daily!$F:$F,"&lt;&gt;")+SUMIFS(Daily!$Z:$Z, Daily!$AB:$AB, "*정기수*", Daily!$I:$I, "폐기",Daily!$F:$F,"&lt;&gt;")+SUMIFS(Daily!$Z:$Z, Daily!$AB:$AB, "*정기수*", Daily!$I:$I, "수리불가",Daily!$F:$F,"&lt;&gt;")</f>
        <v>188</v>
      </c>
      <c r="D9" s="157">
        <f>SUMIFS(Daily!W:W, Daily!$AB:$AB,"*정기수*", Daily!$I:$I, "*수리완료",Daily!$F:$F,"&lt;&gt;")</f>
        <v>78718</v>
      </c>
      <c r="E9" s="162">
        <f t="shared" si="0"/>
        <v>71.561818181818182</v>
      </c>
      <c r="F9" s="171">
        <f>SUMIFS(Daily!$S:$S, Daily!$AB:$AB, "*정기수*", Daily!$I:$I, "Other", Daily!$F:$F,"&lt;&gt;")</f>
        <v>4</v>
      </c>
      <c r="G9" s="141">
        <f>SUMIFS(Daily!$Z:$Z, Daily!$AB:$AB, "*정기수*", Daily!$I:$I, "Other",Daily!$F:$F,"&lt;&gt;")</f>
        <v>21</v>
      </c>
    </row>
    <row r="10" spans="1:7" ht="17.25" thickBot="1">
      <c r="A10" s="131" t="s">
        <v>75</v>
      </c>
      <c r="B10" s="145">
        <f t="shared" ref="B10:G10" si="1">SUM(B4:B9)</f>
        <v>343</v>
      </c>
      <c r="C10" s="146">
        <f t="shared" si="1"/>
        <v>961</v>
      </c>
      <c r="D10" s="159">
        <f t="shared" si="1"/>
        <v>415664</v>
      </c>
      <c r="E10" s="164">
        <f t="shared" si="1"/>
        <v>377.87636363636364</v>
      </c>
      <c r="F10" s="173">
        <f t="shared" si="1"/>
        <v>20</v>
      </c>
      <c r="G10" s="147">
        <f t="shared" si="1"/>
        <v>90</v>
      </c>
    </row>
  </sheetData>
  <mergeCells count="4">
    <mergeCell ref="A1:G1"/>
    <mergeCell ref="A2:A3"/>
    <mergeCell ref="F2:G2"/>
    <mergeCell ref="B2:E2"/>
  </mergeCells>
  <phoneticPr fontId="3" type="noConversion"/>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dimension ref="A1:Q58"/>
  <sheetViews>
    <sheetView showGridLines="0" zoomScale="85" zoomScaleNormal="85" workbookViewId="0">
      <selection activeCell="P24" sqref="P24"/>
    </sheetView>
  </sheetViews>
  <sheetFormatPr defaultRowHeight="16.5"/>
  <cols>
    <col min="1" max="1" width="11.625" customWidth="1"/>
    <col min="15" max="15" width="9" customWidth="1"/>
  </cols>
  <sheetData>
    <row r="1" spans="1:17" ht="42.75" customHeight="1" thickBot="1">
      <c r="A1" s="227" t="s">
        <v>138</v>
      </c>
      <c r="B1" s="227"/>
      <c r="C1" s="227"/>
      <c r="D1" s="227"/>
      <c r="E1" s="227"/>
      <c r="F1" s="227"/>
      <c r="G1" s="227"/>
      <c r="H1" s="227"/>
      <c r="I1" s="227"/>
    </row>
    <row r="2" spans="1:17" ht="17.25" thickBot="1">
      <c r="A2" s="39"/>
      <c r="B2" s="40" t="s">
        <v>20</v>
      </c>
      <c r="C2" s="41" t="s">
        <v>34</v>
      </c>
      <c r="D2" s="41" t="s">
        <v>37</v>
      </c>
      <c r="E2" s="41" t="s">
        <v>39</v>
      </c>
      <c r="F2" s="41" t="s">
        <v>40</v>
      </c>
      <c r="G2" s="41" t="s">
        <v>45</v>
      </c>
      <c r="H2" s="41" t="s">
        <v>47</v>
      </c>
      <c r="I2" s="41" t="s">
        <v>49</v>
      </c>
      <c r="J2" s="41" t="s">
        <v>50</v>
      </c>
      <c r="K2" s="41" t="s">
        <v>21</v>
      </c>
      <c r="L2" s="41" t="s">
        <v>73</v>
      </c>
      <c r="M2" s="41" t="s">
        <v>74</v>
      </c>
      <c r="N2" s="42" t="s">
        <v>75</v>
      </c>
      <c r="O2" s="43" t="s">
        <v>68</v>
      </c>
    </row>
    <row r="3" spans="1:17" ht="17.25" thickTop="1">
      <c r="A3" s="44" t="s">
        <v>76</v>
      </c>
      <c r="B3" s="45">
        <f>SUMIFS(Daily!S:S,Daily!I:I,"수리완료",Daily!G:G,"=1",Daily!F:F,"&lt;&gt;")</f>
        <v>151</v>
      </c>
      <c r="C3" s="46">
        <f>SUMIFS(Daily!S:S,Daily!I:I,"수리완료",Daily!G:G,"=2")</f>
        <v>170</v>
      </c>
      <c r="D3" s="46">
        <f>SUMIFS(Daily!S:S,Daily!I:I,"수리완료",Daily!G:G,"=3")</f>
        <v>12</v>
      </c>
      <c r="E3" s="46">
        <f>SUMIFS(Daily!S:S,Daily!I:I,"수리완료",Daily!G:G,"=4")</f>
        <v>0</v>
      </c>
      <c r="F3" s="46">
        <f>SUMIFS(Daily!S:S,Daily!I:I,"수리완료",Daily!G:G,"=5")</f>
        <v>0</v>
      </c>
      <c r="G3" s="46">
        <f>SUMIFS(Daily!S:S,Daily!I:I,"수리완료",Daily!G:G,"=6")</f>
        <v>0</v>
      </c>
      <c r="H3" s="46">
        <f>SUMIFS(Daily!S:S,Daily!I:I,"수리완료",Daily!G:G,"=7")</f>
        <v>0</v>
      </c>
      <c r="I3" s="46">
        <f>SUMIFS(Daily!S:S,Daily!I:I,"수리완료",Daily!G:G,"=8")</f>
        <v>0</v>
      </c>
      <c r="J3" s="46">
        <f>SUMIFS(Daily!S:S,Daily!I:I,"수리완료",Daily!G:G,"=9")</f>
        <v>0</v>
      </c>
      <c r="K3" s="46">
        <f>SUMIFS(Daily!S:S,Daily!I:I,"수리완료",Daily!G:G,"=10")</f>
        <v>0</v>
      </c>
      <c r="L3" s="46">
        <f>SUMIFS(Daily!S:S,Daily!I:I,"수리완료",Daily!G:G,"=11")</f>
        <v>0</v>
      </c>
      <c r="M3" s="46">
        <f>SUMIFS(Daily!S:S,Daily!I:I,"수리완료",Daily!G:G,"=12")</f>
        <v>0</v>
      </c>
      <c r="N3" s="47">
        <f>SUM(B3:M3)</f>
        <v>333</v>
      </c>
      <c r="O3" s="48">
        <f>N3/N5</f>
        <v>0.9708454810495627</v>
      </c>
      <c r="Q3" t="s">
        <v>134</v>
      </c>
    </row>
    <row r="4" spans="1:17">
      <c r="A4" s="49" t="s">
        <v>77</v>
      </c>
      <c r="B4" s="50">
        <f>SUMIFS(Daily!S:S,Daily!I:I,"외주수리완료",Daily!G:G,"=1",Daily!F:F,"&lt;&gt;")</f>
        <v>6</v>
      </c>
      <c r="C4" s="46">
        <f>SUMIFS(Daily!S:S,Daily!I:I,"외주수리완료",Daily!G:G,"=2")</f>
        <v>4</v>
      </c>
      <c r="D4" s="46">
        <f>SUMIFS(Daily!S:S,Daily!I:I,"외주수리완료",Daily!G:G,"=3")</f>
        <v>0</v>
      </c>
      <c r="E4" s="46">
        <f>SUMIFS(Daily!S:S,Daily!I:I,"외주수리완료",Daily!G:G,"=4")</f>
        <v>0</v>
      </c>
      <c r="F4" s="46">
        <f>SUMIFS(Daily!S:S,Daily!I:I,"외주수리완료",Daily!G:G,"=5")</f>
        <v>0</v>
      </c>
      <c r="G4" s="46">
        <f>SUMIFS(Daily!S:S,Daily!I:I,"외주수리완료",Daily!G:G,"=6")</f>
        <v>0</v>
      </c>
      <c r="H4" s="46">
        <f>SUMIFS(Daily!S:S,Daily!I:I,"외주수리완료",Daily!G:G,"=7")</f>
        <v>0</v>
      </c>
      <c r="I4" s="46">
        <f>SUMIFS(Daily!S:S,Daily!I:I,"외주수리완료",Daily!G:G,"=8")</f>
        <v>0</v>
      </c>
      <c r="J4" s="46">
        <f>SUMIFS(Daily!S:S,Daily!I:I,"외주수리완료",Daily!G:G,"=9")</f>
        <v>0</v>
      </c>
      <c r="K4" s="46">
        <f>SUMIFS(Daily!S:S,Daily!I:I,"외주수리완료",Daily!G:G,"=10")</f>
        <v>0</v>
      </c>
      <c r="L4" s="46">
        <f>SUMIFS(Daily!S:S,Daily!I:I,"외주수리완료",Daily!G:G,"=11")</f>
        <v>0</v>
      </c>
      <c r="M4" s="46">
        <f>SUMIFS(Daily!S:S,Daily!I:I,"외주수리완료",Daily!G:G,"=12")</f>
        <v>0</v>
      </c>
      <c r="N4" s="47">
        <f>SUM(B4:M4)</f>
        <v>10</v>
      </c>
      <c r="O4" s="51">
        <f>N4/N5</f>
        <v>2.9154518950437316E-2</v>
      </c>
    </row>
    <row r="5" spans="1:17" ht="17.25" thickBot="1">
      <c r="A5" s="52" t="s">
        <v>78</v>
      </c>
      <c r="B5" s="53">
        <f t="shared" ref="B5:O5" si="0">SUM(B3:B4)</f>
        <v>157</v>
      </c>
      <c r="C5" s="54">
        <f t="shared" si="0"/>
        <v>174</v>
      </c>
      <c r="D5" s="54">
        <f t="shared" si="0"/>
        <v>12</v>
      </c>
      <c r="E5" s="54">
        <f t="shared" si="0"/>
        <v>0</v>
      </c>
      <c r="F5" s="54">
        <f t="shared" si="0"/>
        <v>0</v>
      </c>
      <c r="G5" s="54">
        <f t="shared" si="0"/>
        <v>0</v>
      </c>
      <c r="H5" s="54">
        <f t="shared" si="0"/>
        <v>0</v>
      </c>
      <c r="I5" s="54">
        <f t="shared" si="0"/>
        <v>0</v>
      </c>
      <c r="J5" s="54">
        <f t="shared" si="0"/>
        <v>0</v>
      </c>
      <c r="K5" s="54">
        <f t="shared" si="0"/>
        <v>0</v>
      </c>
      <c r="L5" s="54">
        <f t="shared" si="0"/>
        <v>0</v>
      </c>
      <c r="M5" s="54">
        <f t="shared" si="0"/>
        <v>0</v>
      </c>
      <c r="N5" s="55">
        <f t="shared" si="0"/>
        <v>343</v>
      </c>
      <c r="O5" s="56">
        <f t="shared" si="0"/>
        <v>1</v>
      </c>
    </row>
    <row r="6" spans="1:17" ht="17.25" thickBot="1">
      <c r="A6" s="57" t="s">
        <v>79</v>
      </c>
      <c r="B6" s="58">
        <f>IFERROR(B4/B5,"")</f>
        <v>3.8216560509554139E-2</v>
      </c>
      <c r="C6" s="59">
        <f t="shared" ref="C6:O6" si="1">IFERROR(C4/C5,"")</f>
        <v>2.2988505747126436E-2</v>
      </c>
      <c r="D6" s="59">
        <f t="shared" si="1"/>
        <v>0</v>
      </c>
      <c r="E6" s="59" t="str">
        <f t="shared" si="1"/>
        <v/>
      </c>
      <c r="F6" s="59" t="str">
        <f t="shared" si="1"/>
        <v/>
      </c>
      <c r="G6" s="59" t="str">
        <f t="shared" si="1"/>
        <v/>
      </c>
      <c r="H6" s="59" t="str">
        <f t="shared" si="1"/>
        <v/>
      </c>
      <c r="I6" s="59" t="str">
        <f t="shared" si="1"/>
        <v/>
      </c>
      <c r="J6" s="59" t="str">
        <f t="shared" si="1"/>
        <v/>
      </c>
      <c r="K6" s="59" t="str">
        <f t="shared" si="1"/>
        <v/>
      </c>
      <c r="L6" s="59" t="str">
        <f t="shared" si="1"/>
        <v/>
      </c>
      <c r="M6" s="59" t="str">
        <f t="shared" si="1"/>
        <v/>
      </c>
      <c r="N6" s="60"/>
      <c r="O6" s="179">
        <f t="shared" si="1"/>
        <v>2.9154518950437316E-2</v>
      </c>
      <c r="P6" s="178"/>
    </row>
    <row r="7" spans="1:17" ht="17.25" thickBot="1">
      <c r="A7" s="61" t="s">
        <v>80</v>
      </c>
      <c r="B7" s="62">
        <f>IFERROR(SUMIFS(Daily!V:V,Daily!I:I,"외주수리완료",Daily!G:G,"1",Daily!F:F,"&lt;&gt;"),"")</f>
        <v>4290</v>
      </c>
      <c r="C7" s="63">
        <f>IFERROR(SUMIFS(Daily!V:V,Daily!I:I,"외주수리완료",Daily!G:G,"2",Daily!F:F,"&lt;&gt;"),"")</f>
        <v>5050</v>
      </c>
      <c r="D7" s="63">
        <f>IFERROR(SUMIFS(Daily!V:V,Daily!I:I,"외주수리완료",Daily!G:G,"3",Daily!F:F,"&lt;&gt;"),"")</f>
        <v>0</v>
      </c>
      <c r="E7" s="62">
        <f>IFERROR(SUMIFS(Daily!V:V,Daily!I:I,"외주수리완료",Daily!G:G,"4",Daily!F:F,"&lt;&gt;"),"")</f>
        <v>0</v>
      </c>
      <c r="F7" s="62">
        <f>IFERROR(SUMIFS(Daily!V:V,Daily!I:I,"외주수리완료",Daily!G:G,"5",Daily!F:F,"&lt;&gt;"),"")</f>
        <v>0</v>
      </c>
      <c r="G7" s="63">
        <f>IFERROR(SUMIFS(Daily!V:V,Daily!I:I,"외주수리완료",Daily!G:G,"6",Daily!F:F,"&lt;&gt;"),"")</f>
        <v>0</v>
      </c>
      <c r="H7" s="63">
        <f>IFERROR(SUMIFS(Daily!V:V,Daily!I:I,"외주수리완료",Daily!G:G,"7",Daily!F:F,"&lt;&gt;"),"")</f>
        <v>0</v>
      </c>
      <c r="I7" s="62">
        <f>IFERROR(SUMIFS(Daily!V:V,Daily!I:I,"외주수리완료",Daily!G:G,"8",Daily!F:F,"&lt;&gt;"),"")</f>
        <v>0</v>
      </c>
      <c r="J7" s="62">
        <f>IFERROR(SUMIFS(Daily!V:V,Daily!I:I,"외주수리완료",Daily!G:G,"9",Daily!F:F,"&lt;&gt;"),"")</f>
        <v>0</v>
      </c>
      <c r="K7" s="63">
        <f>IFERROR(SUMIFS(Daily!V:V,Daily!I:I,"외주수리완료",Daily!G:G,"10",Daily!F:F,"&lt;&gt;"),"")</f>
        <v>0</v>
      </c>
      <c r="L7" s="63">
        <f>IFERROR(SUMIFS(Daily!V:V,Daily!I:I,"외주수리완료",Daily!G:G,"11",Daily!F:F,"&lt;&gt;"),"")</f>
        <v>0</v>
      </c>
      <c r="M7" s="62">
        <f>IFERROR(SUMIFS(Daily!V:V,Daily!I:I,"외주수리완료",Daily!G:G,"12",Daily!F:F,"&lt;&gt;"),"")</f>
        <v>0</v>
      </c>
      <c r="N7" s="64">
        <f>SUM(B7:M7)</f>
        <v>9340</v>
      </c>
      <c r="O7" s="177"/>
    </row>
    <row r="8" spans="1:17">
      <c r="A8" s="34"/>
      <c r="B8" s="34"/>
      <c r="C8" s="34"/>
      <c r="D8" s="34"/>
      <c r="E8" s="34"/>
      <c r="F8" s="34"/>
      <c r="G8" s="34"/>
      <c r="H8" s="34"/>
      <c r="I8" s="34"/>
    </row>
    <row r="9" spans="1:17">
      <c r="A9" s="34"/>
      <c r="B9" s="34"/>
      <c r="C9" s="34"/>
      <c r="D9" s="34"/>
      <c r="E9" s="34"/>
      <c r="F9" s="34"/>
      <c r="G9" s="34"/>
      <c r="H9" s="34"/>
      <c r="I9" s="34"/>
    </row>
    <row r="10" spans="1:17">
      <c r="A10" s="34"/>
      <c r="B10" s="34"/>
      <c r="C10" s="34"/>
      <c r="D10" s="34"/>
      <c r="E10" s="34"/>
      <c r="F10" s="34"/>
      <c r="G10" s="34"/>
      <c r="H10" s="34"/>
      <c r="I10" s="34"/>
    </row>
    <row r="11" spans="1:17">
      <c r="A11" s="34"/>
      <c r="B11" s="34"/>
      <c r="C11" s="34"/>
      <c r="D11" s="34"/>
      <c r="E11" s="34"/>
      <c r="F11" s="34"/>
      <c r="G11" s="34"/>
      <c r="H11" s="34"/>
      <c r="I11" s="34"/>
    </row>
    <row r="12" spans="1:17">
      <c r="A12" s="34"/>
      <c r="B12" s="34"/>
      <c r="C12" s="34"/>
      <c r="D12" s="34"/>
      <c r="E12" s="34"/>
      <c r="F12" s="34"/>
      <c r="G12" s="34"/>
      <c r="H12" s="34"/>
      <c r="I12" s="34"/>
    </row>
    <row r="13" spans="1:17">
      <c r="A13" s="34"/>
      <c r="B13" s="34"/>
      <c r="C13" s="34"/>
      <c r="D13" s="34"/>
      <c r="E13" s="34"/>
      <c r="F13" s="34"/>
      <c r="G13" s="34"/>
      <c r="H13" s="34"/>
      <c r="I13" s="34"/>
    </row>
    <row r="14" spans="1:17">
      <c r="A14" s="34"/>
      <c r="B14" s="34"/>
      <c r="C14" s="34"/>
      <c r="D14" s="34"/>
      <c r="E14" s="34"/>
      <c r="F14" s="34"/>
      <c r="G14" s="34"/>
      <c r="H14" s="34"/>
      <c r="I14" s="34"/>
    </row>
    <row r="15" spans="1:17">
      <c r="A15" s="34"/>
      <c r="B15" s="34"/>
      <c r="C15" s="34"/>
      <c r="D15" s="34"/>
      <c r="E15" s="34"/>
      <c r="F15" s="34"/>
      <c r="G15" s="34"/>
      <c r="H15" s="34"/>
      <c r="I15" s="34"/>
    </row>
    <row r="16" spans="1:17">
      <c r="A16" s="34"/>
      <c r="B16" s="34"/>
      <c r="C16" s="34"/>
      <c r="D16" s="34"/>
      <c r="E16" s="34"/>
      <c r="F16" s="34"/>
      <c r="G16" s="34"/>
      <c r="H16" s="34"/>
      <c r="I16" s="34"/>
    </row>
    <row r="17" spans="1:15">
      <c r="A17" s="34"/>
      <c r="B17" s="34"/>
      <c r="C17" s="34"/>
      <c r="D17" s="34"/>
      <c r="E17" s="34"/>
      <c r="F17" s="34"/>
      <c r="G17" s="34"/>
      <c r="H17" s="34"/>
      <c r="I17" s="34"/>
    </row>
    <row r="18" spans="1:15">
      <c r="A18" s="34"/>
      <c r="B18" s="34"/>
      <c r="C18" s="34"/>
      <c r="D18" s="34"/>
      <c r="E18" s="34"/>
      <c r="F18" s="34"/>
      <c r="G18" s="34"/>
      <c r="H18" s="34"/>
      <c r="I18" s="34"/>
    </row>
    <row r="19" spans="1:15">
      <c r="A19" s="35"/>
      <c r="B19" s="35"/>
      <c r="C19" s="35"/>
      <c r="D19" s="35"/>
      <c r="E19" s="35"/>
      <c r="F19" s="35"/>
      <c r="G19" s="35"/>
      <c r="H19" s="35"/>
      <c r="I19" s="35"/>
    </row>
    <row r="20" spans="1:15">
      <c r="A20" s="35"/>
      <c r="B20" s="35"/>
      <c r="C20" s="35"/>
      <c r="D20" s="35"/>
      <c r="E20" s="35"/>
      <c r="F20" s="35"/>
      <c r="G20" s="35"/>
      <c r="H20" s="35"/>
      <c r="I20" s="35"/>
    </row>
    <row r="21" spans="1:15">
      <c r="A21" s="35"/>
      <c r="B21" s="35"/>
      <c r="C21" s="35"/>
      <c r="D21" s="35"/>
      <c r="E21" s="35"/>
      <c r="F21" s="35"/>
      <c r="G21" s="35"/>
      <c r="H21" s="35"/>
      <c r="I21" s="35"/>
    </row>
    <row r="22" spans="1:15">
      <c r="A22" s="35"/>
      <c r="B22" s="35"/>
      <c r="C22" s="35"/>
      <c r="D22" s="35"/>
      <c r="E22" s="35"/>
      <c r="F22" s="35"/>
      <c r="G22" s="35"/>
      <c r="H22" s="35"/>
      <c r="I22" s="35"/>
    </row>
    <row r="23" spans="1:15">
      <c r="A23" s="35"/>
      <c r="B23" s="35"/>
      <c r="C23" s="35"/>
      <c r="D23" s="35"/>
      <c r="E23" s="35"/>
      <c r="F23" s="35"/>
      <c r="G23" s="35"/>
      <c r="H23" s="35"/>
      <c r="I23" s="35"/>
    </row>
    <row r="24" spans="1:15">
      <c r="A24" s="35"/>
      <c r="B24" s="35"/>
      <c r="C24" s="35"/>
      <c r="D24" s="35"/>
      <c r="E24" s="35"/>
      <c r="F24" s="35"/>
      <c r="G24" s="35"/>
      <c r="H24" s="35"/>
      <c r="I24" s="35"/>
    </row>
    <row r="25" spans="1:15">
      <c r="A25" s="35"/>
      <c r="B25" s="35"/>
      <c r="C25" s="35"/>
      <c r="D25" s="35"/>
      <c r="E25" s="35"/>
      <c r="F25" s="35"/>
      <c r="G25" s="35"/>
      <c r="H25" s="35"/>
      <c r="I25" s="35"/>
    </row>
    <row r="28" spans="1:15" ht="31.5">
      <c r="A28" s="65" t="s">
        <v>139</v>
      </c>
      <c r="B28" s="66"/>
      <c r="C28" s="66"/>
      <c r="D28" s="66"/>
      <c r="E28" s="66"/>
      <c r="F28" s="66"/>
      <c r="G28" s="66"/>
      <c r="H28" s="66"/>
      <c r="I28" s="66"/>
      <c r="J28" s="66"/>
      <c r="K28" s="66"/>
      <c r="L28" s="66"/>
      <c r="M28" s="66"/>
      <c r="N28" s="66"/>
      <c r="O28" s="66"/>
    </row>
    <row r="29" spans="1:15" ht="17.25" thickBot="1">
      <c r="A29" s="67" t="s">
        <v>81</v>
      </c>
      <c r="B29" s="67" t="s">
        <v>20</v>
      </c>
      <c r="C29" s="67" t="s">
        <v>34</v>
      </c>
      <c r="D29" s="67" t="s">
        <v>37</v>
      </c>
      <c r="E29" s="67" t="s">
        <v>39</v>
      </c>
      <c r="F29" s="67" t="s">
        <v>40</v>
      </c>
      <c r="G29" s="67" t="s">
        <v>45</v>
      </c>
      <c r="H29" s="67" t="s">
        <v>47</v>
      </c>
      <c r="I29" s="67" t="s">
        <v>49</v>
      </c>
      <c r="J29" s="67" t="s">
        <v>50</v>
      </c>
      <c r="K29" s="67" t="s">
        <v>21</v>
      </c>
      <c r="L29" s="67" t="s">
        <v>73</v>
      </c>
      <c r="M29" s="67" t="s">
        <v>74</v>
      </c>
      <c r="N29" s="67" t="s">
        <v>75</v>
      </c>
      <c r="O29" s="67" t="s">
        <v>68</v>
      </c>
    </row>
    <row r="30" spans="1:15" ht="17.25" thickTop="1">
      <c r="A30" s="68" t="s">
        <v>33</v>
      </c>
      <c r="B30" s="46">
        <f>SUMIFS(Daily!S:S,Daily!I:I,"외주수리완료",Daily!Y:Y,"디에이테크",Daily!G:G,"1",Daily!F:F,"&lt;&gt;")</f>
        <v>0</v>
      </c>
      <c r="C30" s="46">
        <f>SUMIFS(Daily!S:S,Daily!I:I,"외주수리완료",Daily!Y:Y,"디에이테크",Daily!G:G,"2",Daily!E:E,"&lt;&gt;")</f>
        <v>0</v>
      </c>
      <c r="D30" s="46">
        <f>SUMIFS(Daily!S:S,Daily!I:I,"외주수리완료",Daily!Y:Y,"디에이테크",Daily!G:G,"3",Daily!E:E,"&lt;&gt;")</f>
        <v>0</v>
      </c>
      <c r="E30" s="46">
        <f>SUMIFS(Daily!S:S,Daily!I:I,"외주수리완료",Daily!Y:Y,"디에이테크",Daily!G:G,"4",Daily!E:E,"&lt;&gt;")</f>
        <v>0</v>
      </c>
      <c r="F30" s="46">
        <f>SUMIFS(Daily!S:S,Daily!I:I,"외주수리완료",Daily!Y:Y,"디에이테크",Daily!G:G,"5",Daily!E:E,"&lt;&gt;")</f>
        <v>0</v>
      </c>
      <c r="G30" s="46">
        <f>SUMIFS(Daily!S:S,Daily!I:I,"외주수리완료",Daily!Y:Y,"디에이테크",Daily!G:G,"6",Daily!E:E,"&lt;&gt;")</f>
        <v>0</v>
      </c>
      <c r="H30" s="46">
        <f>SUMIFS(Daily!S:S,Daily!I:I,"외주수리완료",Daily!Y:Y,"디에이테크",Daily!G:G,"7",Daily!E:E,"&lt;&gt;")</f>
        <v>0</v>
      </c>
      <c r="I30" s="46">
        <f>SUMIFS(Daily!S:S,Daily!I:I,"외주수리완료",Daily!Y:Y,"디에이테크",Daily!G:G,"8",Daily!E:E,"&lt;&gt;")</f>
        <v>0</v>
      </c>
      <c r="J30" s="46">
        <f>SUMIFS(Daily!S:S,Daily!I:I,"외주수리완료",Daily!Y:Y,"디에이테크",Daily!G:G,"9",Daily!E:E,"&lt;&gt;")</f>
        <v>0</v>
      </c>
      <c r="K30" s="46">
        <f>SUMIFS(Daily!S:S,Daily!I:I,"외주수리완료",Daily!Y:Y,"디에이테크",Daily!G:G,"10",Daily!E:E,"&lt;&gt;")</f>
        <v>0</v>
      </c>
      <c r="L30" s="46">
        <f>SUMIFS(Daily!S:S,Daily!I:I,"외주수리완료",Daily!Y:Y,"디에이테크",Daily!G:G,"11",Daily!E:E,"&lt;&gt;")</f>
        <v>0</v>
      </c>
      <c r="M30" s="46">
        <f>SUMIFS(Daily!S:S,Daily!I:I,"외주수리완료",Daily!Y:Y,"디에이테크",Daily!G:G,"12",Daily!E:E,"&lt;&gt;")</f>
        <v>0</v>
      </c>
      <c r="N30" s="69">
        <f>SUM(B30:M30)</f>
        <v>0</v>
      </c>
      <c r="O30" s="70">
        <f>N30/N35</f>
        <v>0</v>
      </c>
    </row>
    <row r="31" spans="1:15">
      <c r="A31" s="71" t="s">
        <v>28</v>
      </c>
      <c r="B31" s="72">
        <f>SUMIFS(Daily!S:S,Daily!I:I,"외주수리완료",Daily!Y:Y,"큐텍코리아",Daily!G:G,"1",Daily!F:F,"&lt;&gt;")</f>
        <v>5</v>
      </c>
      <c r="C31" s="72">
        <f>SUMIFS(Daily!S:S,Daily!I:I,"외주수리완료",Daily!Y:Y,"큐텍코리아",Daily!G:G,"2",Daily!E:E,"&lt;&gt;")</f>
        <v>4</v>
      </c>
      <c r="D31" s="72">
        <f>SUMIFS(Daily!S:S,Daily!I:I,"외주수리완료",Daily!Y:Y,"큐텍코리아",Daily!G:G,"3",Daily!E:E,"&lt;&gt;")</f>
        <v>0</v>
      </c>
      <c r="E31" s="72">
        <f>SUMIFS(Daily!S:S,Daily!I:I,"외주수리완료",Daily!Y:Y,"큐텍코리아",Daily!G:G,"4",Daily!E:E,"&lt;&gt;")</f>
        <v>0</v>
      </c>
      <c r="F31" s="72">
        <f>SUMIFS(Daily!S:S,Daily!I:I,"외주수리완료",Daily!Y:Y,"큐텍코리아",Daily!G:G,"5",Daily!E:E,"&lt;&gt;")</f>
        <v>0</v>
      </c>
      <c r="G31" s="72">
        <f>SUMIFS(Daily!S:S,Daily!I:I,"외주수리완료",Daily!Y:Y,"큐텍코리아",Daily!G:G,"6",Daily!E:E,"&lt;&gt;")</f>
        <v>0</v>
      </c>
      <c r="H31" s="72">
        <f>SUMIFS(Daily!S:S,Daily!I:I,"외주수리완료",Daily!Y:Y,"큐텍코리아",Daily!G:G,"7",Daily!E:E,"&lt;&gt;")</f>
        <v>0</v>
      </c>
      <c r="I31" s="72">
        <f>SUMIFS(Daily!S:S,Daily!I:I,"외주수리완료",Daily!Y:Y,"큐텍코리아",Daily!G:G,"8",Daily!E:E,"&lt;&gt;")</f>
        <v>0</v>
      </c>
      <c r="J31" s="72">
        <f>SUMIFS(Daily!S:S,Daily!I:I,"외주수리완료",Daily!Y:Y,"큐텍코리아",Daily!G:G,"9",Daily!E:E,"&lt;&gt;")</f>
        <v>0</v>
      </c>
      <c r="K31" s="72">
        <f>SUMIFS(Daily!S:S,Daily!I:I,"외주수리완료",Daily!Y:Y,"큐텍코리아",Daily!G:G,"10",Daily!E:E,"&lt;&gt;")</f>
        <v>0</v>
      </c>
      <c r="L31" s="72">
        <f>SUMIFS(Daily!S:S,Daily!I:I,"외주수리완료",Daily!Y:Y,"큐텍코리아",Daily!G:G,"11",Daily!E:E,"&lt;&gt;")</f>
        <v>0</v>
      </c>
      <c r="M31" s="72">
        <f>SUMIFS(Daily!S:S,Daily!I:I,"외주수리완료",Daily!Y:Y,"큐텍코리아",Daily!G:G,"12",Daily!E:E,"&lt;&gt;")</f>
        <v>0</v>
      </c>
      <c r="N31" s="69">
        <f t="shared" ref="N31:N34" si="2">SUM(B31:M31)</f>
        <v>9</v>
      </c>
      <c r="O31" s="73">
        <f>N31/N35</f>
        <v>0.9</v>
      </c>
    </row>
    <row r="32" spans="1:15">
      <c r="A32" s="74" t="s">
        <v>133</v>
      </c>
      <c r="B32" s="72">
        <f>SUMIFS(Daily!S:S,Daily!I:I,"외주수리완료",Daily!Y:Y,"이엔아이",Daily!G:G,"1",Daily!E:E,"&lt;&gt;")</f>
        <v>0</v>
      </c>
      <c r="C32" s="72">
        <f>SUMIFS(Daily!S:S,Daily!I:I,"외주수리완료",Daily!Y:Y,"이엔아이",Daily!G:G,"2",Daily!E:E,"&lt;&gt;")</f>
        <v>0</v>
      </c>
      <c r="D32" s="72">
        <f>SUMIFS(Daily!S:S,Daily!I:I,"외주수리완료",Daily!Y:Y,"이엔아이",Daily!G:G,"3",Daily!E:E,"&lt;&gt;")</f>
        <v>0</v>
      </c>
      <c r="E32" s="72">
        <f>SUMIFS(Daily!S:S,Daily!I:I,"외주수리완료",Daily!Y:Y,"이엔아이",Daily!G:G,"4",Daily!E:E,"&lt;&gt;")</f>
        <v>0</v>
      </c>
      <c r="F32" s="72">
        <f>SUMIFS(Daily!S:S,Daily!I:I,"외주수리완료",Daily!Y:Y,"이엔아이",Daily!G:G,"5",Daily!E:E,"&lt;&gt;")</f>
        <v>0</v>
      </c>
      <c r="G32" s="72">
        <f>SUMIFS(Daily!S:S,Daily!I:I,"외주수리완료",Daily!Y:Y,"이엔아이",Daily!G:G,"6",Daily!E:E,"&lt;&gt;")</f>
        <v>0</v>
      </c>
      <c r="H32" s="72">
        <f>SUMIFS(Daily!S:S,Daily!I:I,"외주수리완료",Daily!Y:Y,"이엔아이",Daily!G:G,"7",Daily!E:E,"&lt;&gt;")</f>
        <v>0</v>
      </c>
      <c r="I32" s="72">
        <f>SUMIFS(Daily!S:S,Daily!I:I,"외주수리완료",Daily!Y:Y,"이엔아이",Daily!G:G,"8",Daily!E:E,"&lt;&gt;")</f>
        <v>0</v>
      </c>
      <c r="J32" s="72">
        <f>SUMIFS(Daily!S:S,Daily!I:I,"외주수리완료",Daily!Y:Y,"이엔아이",Daily!G:G,"9",Daily!E:E,"&lt;&gt;")</f>
        <v>0</v>
      </c>
      <c r="K32" s="72">
        <f>SUMIFS(Daily!S:S,Daily!I:I,"외주수리완료",Daily!Y:Y,"이엔아이",Daily!G:G,"10",Daily!E:E,"&lt;&gt;")</f>
        <v>0</v>
      </c>
      <c r="L32" s="72">
        <f>SUMIFS(Daily!S:S,Daily!I:I,"외주수리완료",Daily!Y:Y,"이엔아이",Daily!G:G,"11",Daily!E:E,"&lt;&gt;")</f>
        <v>0</v>
      </c>
      <c r="M32" s="72">
        <f>SUMIFS(Daily!S:S,Daily!I:I,"외주수리완료",Daily!Y:Y,"이엔아이",Daily!G:G,"12",Daily!E:E,"&lt;&gt;")</f>
        <v>0</v>
      </c>
      <c r="N32" s="69">
        <f t="shared" si="2"/>
        <v>0</v>
      </c>
      <c r="O32" s="73">
        <f>N32/N35</f>
        <v>0</v>
      </c>
    </row>
    <row r="33" spans="1:15">
      <c r="A33" s="75" t="s">
        <v>41</v>
      </c>
      <c r="B33" s="46">
        <f>SUMIFS(Daily!S:S,Daily!I:I,"외주수리완료",Daily!Y:Y,"인베닉스",Daily!G:G,"1",Daily!E:E,"&lt;&gt;")</f>
        <v>0</v>
      </c>
      <c r="C33" s="46">
        <f>SUMIFS(Daily!S:S,Daily!I:I,"외주수리완료",Daily!Y:Y,"인베닉스",Daily!G:G,"2",Daily!E:E,"&lt;&gt;")</f>
        <v>0</v>
      </c>
      <c r="D33" s="46">
        <f>SUMIFS(Daily!S:S,Daily!I:I,"외주수리완료",Daily!Y:Y,"인베닉스",Daily!G:G,"3",Daily!E:E,"&lt;&gt;")</f>
        <v>0</v>
      </c>
      <c r="E33" s="46">
        <f>SUMIFS(Daily!S:S,Daily!I:I,"외주수리완료",Daily!Y:Y,"인베닉스",Daily!G:G,"4",Daily!E:E,"&lt;&gt;")</f>
        <v>0</v>
      </c>
      <c r="F33" s="46">
        <f>SUMIFS(Daily!S:S,Daily!I:I,"외주수리완료",Daily!Y:Y,"인베닉스",Daily!G:G,"5",Daily!E:E,"&lt;&gt;")</f>
        <v>0</v>
      </c>
      <c r="G33" s="46">
        <f>SUMIFS(Daily!S:S,Daily!I:I,"외주수리완료",Daily!Y:Y,"인베닉스",Daily!G:G,"6",Daily!E:E,"&lt;&gt;")</f>
        <v>0</v>
      </c>
      <c r="H33" s="46">
        <f>SUMIFS(Daily!S:S,Daily!I:I,"외주수리완료",Daily!Y:Y,"인베닉스",Daily!G:G,"7",Daily!E:E,"&lt;&gt;")</f>
        <v>0</v>
      </c>
      <c r="I33" s="46">
        <f>SUMIFS(Daily!S:S,Daily!I:I,"외주수리완료",Daily!Y:Y,"인베닉스",Daily!G:G,"8",Daily!E:E,"&lt;&gt;")</f>
        <v>0</v>
      </c>
      <c r="J33" s="46">
        <f>SUMIFS(Daily!S:S,Daily!I:I,"외주수리완료",Daily!Y:Y,"인베닉스",Daily!G:G,"9",Daily!E:E,"&lt;&gt;")</f>
        <v>0</v>
      </c>
      <c r="K33" s="46">
        <f>SUMIFS(Daily!S:S,Daily!I:I,"외주수리완료",Daily!Y:Y,"인베닉스",Daily!G:G,"10",Daily!E:E,"&lt;&gt;")</f>
        <v>0</v>
      </c>
      <c r="L33" s="46">
        <f>SUMIFS(Daily!S:S,Daily!I:I,"외주수리완료",Daily!Y:Y,"인베닉스",Daily!G:G,"11",Daily!E:E,"&lt;&gt;")</f>
        <v>0</v>
      </c>
      <c r="M33" s="46">
        <f>SUMIFS(Daily!S:S,Daily!I:I,"외주수리완료",Daily!Y:Y,"인베닉스",Daily!G:G,"12",Daily!E:E,"&lt;&gt;")</f>
        <v>0</v>
      </c>
      <c r="N33" s="69">
        <f t="shared" si="2"/>
        <v>0</v>
      </c>
      <c r="O33" s="73">
        <f>N33/N35</f>
        <v>0</v>
      </c>
    </row>
    <row r="34" spans="1:15">
      <c r="A34" s="192" t="s">
        <v>131</v>
      </c>
      <c r="B34" s="46">
        <f>SUMIFS(Daily!S:S,Daily!I:I,"외주수리완료",Daily!Y:Y,"기타",Daily!G:G,"1",Daily!E:E,"&lt;&gt;")</f>
        <v>1</v>
      </c>
      <c r="C34" s="46">
        <f>SUMIFS(Daily!S:S,Daily!I:I,"외주수리완료",Daily!Y:Y,"기타",Daily!G:G,"2",Daily!E:E,"&lt;&gt;")</f>
        <v>0</v>
      </c>
      <c r="D34" s="46">
        <f>SUMIFS(Daily!S:S,Daily!I:I,"외주수리완료",Daily!Y:Y,"기타",Daily!G:G,"3",Daily!E:E,"&lt;&gt;")</f>
        <v>0</v>
      </c>
      <c r="E34" s="46">
        <f>SUMIFS(Daily!S:S,Daily!I:I,"외주수리완료",Daily!Y:Y,"기타",Daily!G:G,"4",Daily!E:E,"&lt;&gt;")</f>
        <v>0</v>
      </c>
      <c r="F34" s="46">
        <f>SUMIFS(Daily!S:S,Daily!I:I,"외주수리완료",Daily!Y:Y,"기타",Daily!G:G,"5",Daily!E:E,"&lt;&gt;")</f>
        <v>0</v>
      </c>
      <c r="G34" s="46">
        <f>SUMIFS(Daily!S:S,Daily!I:I,"외주수리완료",Daily!Y:Y,"기타",Daily!G:G,"6",Daily!E:E,"&lt;&gt;")</f>
        <v>0</v>
      </c>
      <c r="H34" s="46">
        <f>SUMIFS(Daily!S:S,Daily!I:I,"외주수리완료",Daily!Y:Y,"기타",Daily!G:G,"7",Daily!E:E,"&lt;&gt;")</f>
        <v>0</v>
      </c>
      <c r="I34" s="46">
        <f>SUMIFS(Daily!S:S,Daily!I:I,"외주수리완료",Daily!Y:Y,"기타",Daily!G:G,"8",Daily!E:E,"&lt;&gt;")</f>
        <v>0</v>
      </c>
      <c r="J34" s="46">
        <f>SUMIFS(Daily!S:S,Daily!I:I,"외주수리완료",Daily!Y:Y,"기타",Daily!G:G,"9",Daily!E:E,"&lt;&gt;")</f>
        <v>0</v>
      </c>
      <c r="K34" s="46">
        <f>SUMIFS(Daily!S:S,Daily!I:I,"외주수리완료",Daily!Y:Y,"기타",Daily!G:G,"10",Daily!E:E,"&lt;&gt;")</f>
        <v>0</v>
      </c>
      <c r="L34" s="46">
        <f>SUMIFS(Daily!S:S,Daily!I:I,"외주수리완료",Daily!Y:Y,"기타",Daily!G:G,"11",Daily!E:E,"&lt;&gt;")</f>
        <v>0</v>
      </c>
      <c r="M34" s="46">
        <f>SUMIFS(Daily!S:S,Daily!I:I,"외주수리완료",Daily!Y:Y,"기타",Daily!G:G,"12",Daily!E:E,"&lt;&gt;")</f>
        <v>0</v>
      </c>
      <c r="N34" s="69">
        <f t="shared" si="2"/>
        <v>1</v>
      </c>
      <c r="O34" s="73">
        <f>N34/N35</f>
        <v>0.1</v>
      </c>
    </row>
    <row r="35" spans="1:15">
      <c r="A35" s="76" t="s">
        <v>75</v>
      </c>
      <c r="B35" s="76">
        <f t="shared" ref="B35:O35" si="3">SUM(B30:B34)</f>
        <v>6</v>
      </c>
      <c r="C35" s="76">
        <f t="shared" si="3"/>
        <v>4</v>
      </c>
      <c r="D35" s="76">
        <f t="shared" si="3"/>
        <v>0</v>
      </c>
      <c r="E35" s="76">
        <f t="shared" si="3"/>
        <v>0</v>
      </c>
      <c r="F35" s="76">
        <f t="shared" si="3"/>
        <v>0</v>
      </c>
      <c r="G35" s="76">
        <f t="shared" si="3"/>
        <v>0</v>
      </c>
      <c r="H35" s="76">
        <f t="shared" si="3"/>
        <v>0</v>
      </c>
      <c r="I35" s="76">
        <f t="shared" si="3"/>
        <v>0</v>
      </c>
      <c r="J35" s="76">
        <f t="shared" si="3"/>
        <v>0</v>
      </c>
      <c r="K35" s="76">
        <f t="shared" si="3"/>
        <v>0</v>
      </c>
      <c r="L35" s="76">
        <f t="shared" si="3"/>
        <v>0</v>
      </c>
      <c r="M35" s="76">
        <f t="shared" si="3"/>
        <v>0</v>
      </c>
      <c r="N35" s="76">
        <f t="shared" si="3"/>
        <v>10</v>
      </c>
      <c r="O35" s="77">
        <f t="shared" si="3"/>
        <v>1</v>
      </c>
    </row>
    <row r="36" spans="1:15">
      <c r="A36" s="78"/>
      <c r="B36" s="78"/>
      <c r="C36" s="78"/>
      <c r="D36" s="78"/>
      <c r="E36" s="78"/>
      <c r="F36" s="78"/>
      <c r="G36" s="78"/>
      <c r="H36" s="78"/>
      <c r="I36" s="78"/>
      <c r="J36" s="78"/>
      <c r="K36" s="78"/>
      <c r="L36" s="78"/>
      <c r="M36" s="78"/>
      <c r="N36" s="78"/>
      <c r="O36" s="78"/>
    </row>
    <row r="37" spans="1:15">
      <c r="A37" s="78"/>
      <c r="B37" s="78"/>
      <c r="C37" s="78"/>
      <c r="D37" s="78"/>
      <c r="E37" s="78"/>
      <c r="F37" s="78"/>
      <c r="G37" s="78"/>
      <c r="H37" s="78"/>
      <c r="I37" s="78"/>
      <c r="J37" s="78"/>
      <c r="K37" s="78"/>
      <c r="L37" s="78"/>
      <c r="M37" s="78"/>
      <c r="N37" s="78"/>
      <c r="O37" s="78"/>
    </row>
    <row r="38" spans="1:15">
      <c r="A38" s="78"/>
      <c r="B38" s="78"/>
      <c r="C38" s="78"/>
      <c r="D38" s="78"/>
      <c r="E38" s="78"/>
      <c r="F38" s="78"/>
      <c r="G38" s="78"/>
      <c r="H38" s="78"/>
      <c r="I38" s="78"/>
      <c r="J38" s="78"/>
      <c r="K38" s="78"/>
      <c r="L38" s="78"/>
      <c r="M38" s="78"/>
      <c r="N38" s="78"/>
      <c r="O38" s="78"/>
    </row>
    <row r="39" spans="1:15">
      <c r="A39" s="78"/>
      <c r="B39" s="78"/>
      <c r="C39" s="78"/>
      <c r="D39" s="78"/>
      <c r="E39" s="78"/>
      <c r="F39" s="78"/>
      <c r="G39" s="78"/>
      <c r="H39" s="78"/>
      <c r="I39" s="78"/>
      <c r="J39" s="78"/>
      <c r="K39" s="78"/>
      <c r="L39" s="78"/>
      <c r="M39" s="78"/>
      <c r="N39" s="78"/>
      <c r="O39" s="78"/>
    </row>
    <row r="40" spans="1:15">
      <c r="A40" s="78"/>
      <c r="B40" s="78"/>
      <c r="C40" s="78"/>
      <c r="D40" s="78"/>
      <c r="E40" s="78"/>
      <c r="F40" s="78"/>
      <c r="G40" s="78"/>
      <c r="H40" s="78"/>
      <c r="I40" s="78"/>
      <c r="J40" s="78"/>
      <c r="K40" s="78"/>
      <c r="L40" s="78"/>
      <c r="M40" s="78"/>
      <c r="N40" s="78"/>
      <c r="O40" s="78"/>
    </row>
    <row r="41" spans="1:15">
      <c r="A41" s="78"/>
      <c r="B41" s="78"/>
      <c r="C41" s="78"/>
      <c r="D41" s="78"/>
      <c r="E41" s="78"/>
      <c r="F41" s="78"/>
      <c r="G41" s="78"/>
      <c r="H41" s="78"/>
      <c r="I41" s="78"/>
      <c r="J41" s="78"/>
      <c r="K41" s="78"/>
      <c r="L41" s="78"/>
      <c r="M41" s="78"/>
      <c r="N41" s="78"/>
      <c r="O41" s="78"/>
    </row>
    <row r="42" spans="1:15">
      <c r="A42" s="78"/>
      <c r="B42" s="78"/>
      <c r="C42" s="78"/>
      <c r="D42" s="78"/>
      <c r="E42" s="78"/>
      <c r="F42" s="78"/>
      <c r="G42" s="78"/>
      <c r="H42" s="78"/>
      <c r="I42" s="78"/>
      <c r="J42" s="78"/>
      <c r="K42" s="78"/>
      <c r="L42" s="78"/>
      <c r="M42" s="78"/>
      <c r="N42" s="78"/>
      <c r="O42" s="78"/>
    </row>
    <row r="43" spans="1:15">
      <c r="A43" s="78"/>
      <c r="B43" s="78"/>
      <c r="C43" s="78"/>
      <c r="D43" s="78"/>
      <c r="E43" s="78"/>
      <c r="F43" s="78"/>
      <c r="G43" s="78"/>
      <c r="H43" s="78"/>
      <c r="I43" s="78"/>
      <c r="J43" s="78"/>
      <c r="K43" s="78"/>
      <c r="L43" s="78"/>
      <c r="M43" s="78"/>
      <c r="N43" s="78"/>
      <c r="O43" s="78"/>
    </row>
    <row r="44" spans="1:15">
      <c r="A44" s="78"/>
      <c r="B44" s="78"/>
      <c r="C44" s="78"/>
      <c r="D44" s="78"/>
      <c r="E44" s="78"/>
      <c r="F44" s="78"/>
      <c r="G44" s="78"/>
      <c r="H44" s="78"/>
      <c r="I44" s="78"/>
      <c r="J44" s="78"/>
      <c r="K44" s="78"/>
      <c r="L44" s="78"/>
      <c r="M44" s="78"/>
      <c r="N44" s="78"/>
      <c r="O44" s="78"/>
    </row>
    <row r="45" spans="1:15">
      <c r="A45" s="78"/>
      <c r="B45" s="78"/>
      <c r="C45" s="78"/>
      <c r="D45" s="78"/>
      <c r="E45" s="78"/>
      <c r="F45" s="78"/>
      <c r="G45" s="78"/>
      <c r="H45" s="78"/>
      <c r="I45" s="78"/>
      <c r="J45" s="78"/>
      <c r="K45" s="78"/>
      <c r="L45" s="78"/>
      <c r="M45" s="78"/>
      <c r="N45" s="78"/>
      <c r="O45" s="78"/>
    </row>
    <row r="46" spans="1:15">
      <c r="A46" s="78"/>
      <c r="B46" s="78"/>
      <c r="C46" s="78"/>
      <c r="D46" s="78"/>
      <c r="E46" s="78"/>
      <c r="F46" s="78"/>
      <c r="G46" s="78"/>
      <c r="H46" s="78"/>
      <c r="I46" s="78"/>
      <c r="J46" s="78"/>
      <c r="K46" s="78"/>
      <c r="L46" s="78"/>
      <c r="M46" s="78"/>
      <c r="N46" s="78"/>
      <c r="O46" s="78"/>
    </row>
    <row r="47" spans="1:15">
      <c r="A47" s="78"/>
      <c r="B47" s="78"/>
      <c r="C47" s="78"/>
      <c r="D47" s="78"/>
      <c r="E47" s="78"/>
      <c r="F47" s="78"/>
      <c r="G47" s="78"/>
      <c r="H47" s="78"/>
      <c r="I47" s="78"/>
      <c r="J47" s="78"/>
      <c r="K47" s="78"/>
      <c r="L47" s="78"/>
      <c r="M47" s="78"/>
      <c r="N47" s="78"/>
      <c r="O47" s="78"/>
    </row>
    <row r="48" spans="1:15">
      <c r="A48" s="78"/>
      <c r="B48" s="78"/>
      <c r="C48" s="78"/>
      <c r="D48" s="78"/>
      <c r="E48" s="78"/>
      <c r="F48" s="78"/>
      <c r="G48" s="78"/>
      <c r="H48" s="78"/>
      <c r="I48" s="78"/>
      <c r="J48" s="78"/>
      <c r="K48" s="78"/>
      <c r="L48" s="78"/>
      <c r="M48" s="78"/>
      <c r="N48" s="78"/>
      <c r="O48" s="78"/>
    </row>
    <row r="49" spans="1:15">
      <c r="A49" s="78"/>
      <c r="B49" s="78"/>
      <c r="C49" s="78"/>
      <c r="D49" s="78"/>
      <c r="E49" s="78"/>
      <c r="F49" s="78"/>
      <c r="G49" s="78"/>
      <c r="H49" s="78"/>
      <c r="I49" s="78"/>
      <c r="J49" s="78"/>
      <c r="K49" s="78"/>
      <c r="L49" s="78"/>
      <c r="M49" s="78"/>
      <c r="N49" s="78"/>
      <c r="O49" s="78"/>
    </row>
    <row r="50" spans="1:15">
      <c r="A50" s="78"/>
      <c r="B50" s="78"/>
      <c r="C50" s="78"/>
      <c r="D50" s="78"/>
      <c r="E50" s="78"/>
      <c r="F50" s="78"/>
      <c r="G50" s="78"/>
      <c r="H50" s="78"/>
      <c r="I50" s="78"/>
      <c r="J50" s="78"/>
      <c r="K50" s="78"/>
      <c r="L50" s="78"/>
      <c r="M50" s="78"/>
      <c r="N50" s="78"/>
      <c r="O50" s="78"/>
    </row>
    <row r="51" spans="1:15">
      <c r="A51" s="78"/>
      <c r="B51" s="78"/>
      <c r="C51" s="78"/>
      <c r="D51" s="78"/>
      <c r="E51" s="78"/>
      <c r="F51" s="78"/>
      <c r="G51" s="78"/>
      <c r="H51" s="78"/>
      <c r="I51" s="78"/>
      <c r="J51" s="78"/>
      <c r="K51" s="78"/>
      <c r="L51" s="78"/>
      <c r="M51" s="78"/>
      <c r="N51" s="78"/>
      <c r="O51" s="78"/>
    </row>
    <row r="52" spans="1:15">
      <c r="A52" s="78"/>
      <c r="B52" s="78"/>
      <c r="C52" s="78"/>
      <c r="D52" s="78"/>
      <c r="E52" s="78"/>
      <c r="F52" s="78"/>
      <c r="G52" s="78"/>
      <c r="H52" s="78"/>
      <c r="I52" s="78"/>
      <c r="J52" s="78"/>
      <c r="K52" s="78"/>
      <c r="L52" s="78"/>
      <c r="M52" s="78"/>
      <c r="N52" s="78"/>
      <c r="O52" s="78"/>
    </row>
    <row r="53" spans="1:15">
      <c r="A53" s="78"/>
      <c r="B53" s="78"/>
      <c r="C53" s="78"/>
      <c r="D53" s="78"/>
      <c r="E53" s="78"/>
      <c r="F53" s="78"/>
      <c r="G53" s="78"/>
      <c r="H53" s="78"/>
      <c r="I53" s="78"/>
      <c r="J53" s="78"/>
      <c r="K53" s="78"/>
      <c r="L53" s="78"/>
      <c r="M53" s="78"/>
      <c r="N53" s="78"/>
      <c r="O53" s="78"/>
    </row>
    <row r="54" spans="1:15">
      <c r="A54" s="78"/>
      <c r="B54" s="78"/>
      <c r="C54" s="78"/>
      <c r="D54" s="78"/>
      <c r="E54" s="78"/>
      <c r="F54" s="78"/>
      <c r="G54" s="78"/>
      <c r="H54" s="78"/>
      <c r="I54" s="78"/>
      <c r="J54" s="78"/>
      <c r="K54" s="78"/>
      <c r="L54" s="78"/>
      <c r="M54" s="78"/>
      <c r="N54" s="78"/>
      <c r="O54" s="78"/>
    </row>
    <row r="55" spans="1:15">
      <c r="A55" s="78"/>
      <c r="B55" s="78"/>
      <c r="C55" s="78"/>
      <c r="D55" s="78"/>
      <c r="E55" s="78"/>
      <c r="F55" s="78"/>
      <c r="G55" s="78"/>
      <c r="H55" s="78"/>
      <c r="I55" s="78"/>
      <c r="J55" s="78"/>
      <c r="K55" s="78"/>
      <c r="L55" s="78"/>
      <c r="M55" s="78"/>
      <c r="N55" s="78"/>
      <c r="O55" s="78"/>
    </row>
    <row r="57" spans="1:15">
      <c r="A57" s="78"/>
      <c r="B57" s="78"/>
      <c r="C57" s="78"/>
      <c r="D57" s="78"/>
      <c r="E57" s="78"/>
      <c r="F57" s="78"/>
      <c r="G57" s="78"/>
      <c r="H57" s="78"/>
      <c r="I57" s="78"/>
      <c r="J57" s="78"/>
      <c r="K57" s="78"/>
      <c r="L57" s="78"/>
      <c r="M57" s="78"/>
      <c r="N57" s="78"/>
      <c r="O57" s="78"/>
    </row>
    <row r="58" spans="1:15">
      <c r="A58" s="78"/>
      <c r="B58" s="78"/>
      <c r="C58" s="78"/>
      <c r="D58" s="78"/>
      <c r="E58" s="78"/>
      <c r="F58" s="78"/>
      <c r="G58" s="78"/>
      <c r="H58" s="78"/>
      <c r="I58" s="78"/>
      <c r="J58" s="78"/>
      <c r="K58" s="78"/>
      <c r="L58" s="78"/>
      <c r="M58" s="78"/>
      <c r="N58" s="78"/>
      <c r="O58" s="78"/>
    </row>
  </sheetData>
  <mergeCells count="1">
    <mergeCell ref="A1:I1"/>
  </mergeCells>
  <phoneticPr fontId="3" type="noConversion"/>
  <pageMargins left="0.7" right="0.7" top="0.75" bottom="0.75" header="0.3" footer="0.3"/>
  <pageSetup paperSize="9"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3">
    <tabColor theme="0"/>
  </sheetPr>
  <dimension ref="B1:M20"/>
  <sheetViews>
    <sheetView showGridLines="0" zoomScaleNormal="100" workbookViewId="0">
      <selection activeCell="C7" sqref="C7"/>
    </sheetView>
  </sheetViews>
  <sheetFormatPr defaultRowHeight="16.5"/>
  <cols>
    <col min="1" max="1" width="3.875" style="22" customWidth="1"/>
    <col min="2" max="2" width="10.25" style="22" customWidth="1"/>
    <col min="3" max="3" width="12.5" style="22" customWidth="1"/>
    <col min="4" max="4" width="13.875" style="22" customWidth="1"/>
    <col min="5" max="16384" width="9" style="22"/>
  </cols>
  <sheetData>
    <row r="1" spans="2:13">
      <c r="B1" s="211" t="s">
        <v>69</v>
      </c>
      <c r="C1" s="212"/>
      <c r="D1" s="212"/>
      <c r="E1" s="212"/>
      <c r="F1" s="212"/>
      <c r="G1" s="212"/>
      <c r="H1" s="212"/>
      <c r="I1" s="212"/>
      <c r="J1" s="212"/>
      <c r="K1" s="212"/>
      <c r="L1" s="212"/>
      <c r="M1" s="212"/>
    </row>
    <row r="2" spans="2:13">
      <c r="B2" s="212"/>
      <c r="C2" s="212"/>
      <c r="D2" s="212"/>
      <c r="E2" s="212"/>
      <c r="F2" s="212"/>
      <c r="G2" s="212"/>
      <c r="H2" s="212"/>
      <c r="I2" s="212"/>
      <c r="J2" s="212"/>
      <c r="K2" s="212"/>
      <c r="L2" s="212"/>
      <c r="M2" s="212"/>
    </row>
    <row r="3" spans="2:13" ht="17.25" thickBot="1"/>
    <row r="4" spans="2:13" ht="17.25" thickBot="1">
      <c r="B4" s="228" t="s">
        <v>51</v>
      </c>
      <c r="C4" s="228" t="s">
        <v>70</v>
      </c>
      <c r="D4" s="230" t="s">
        <v>71</v>
      </c>
    </row>
    <row r="5" spans="2:13" ht="17.25" thickBot="1">
      <c r="B5" s="228"/>
      <c r="C5" s="229"/>
      <c r="D5" s="229"/>
    </row>
    <row r="6" spans="2:13" ht="17.25" thickBot="1">
      <c r="B6" s="36" t="s">
        <v>57</v>
      </c>
      <c r="C6" s="37">
        <f>SUMIFS(Daily!S:S,Daily!I:I,"수리완료",Daily!M:M,"Ionizer",Daily!G:G,1,Daily!F:F,"&lt;&gt;")+SUMIFS(Daily!S:S,Daily!I:I,"외주수리완료",Daily!M:M,"Ionizer",Daily!G:G,1,Daily!F:F,"&lt;&gt;")</f>
        <v>6</v>
      </c>
      <c r="D6" s="37">
        <f>SUMIFS(Daily!W:W,Daily!I:I,"수리완료",Daily!M:M,"Ionizer",Daily!G:G,1,Daily!F:F,"&lt;&gt;")+SUMIFS(Daily!W:W,Daily!I:I,"외주수리완료",Daily!M:M,"Ionizer",Daily!G:G,1,Daily!F:F,"&lt;&gt;")</f>
        <v>2390.5</v>
      </c>
    </row>
    <row r="7" spans="2:13" ht="17.25" thickBot="1">
      <c r="B7" s="36" t="s">
        <v>58</v>
      </c>
      <c r="C7" s="37">
        <f>SUMIFS(Daily!S:S,Daily!I:I,"수리완료",Daily!M:M,"Ionizer",Daily!G:G,2,Daily!F:F,"&lt;&gt;")+SUMIFS(Daily!S:S,Daily!I:I,"외주수리완료",Daily!M:M,"Ionizer",Daily!G:G,2,Daily!F:F,"&lt;&gt;")</f>
        <v>23</v>
      </c>
      <c r="D7" s="37">
        <f>SUMIFS(Daily!W:W,Daily!I:I,"수리완료",Daily!M:M,"Ionizer",Daily!G:G,2,Daily!F:F,"&lt;&gt;")+SUMIFS(Daily!W:W,Daily!I:I,"외주수리완료",Daily!M:M,"Ionizer",Daily!G:G,2,Daily!F:F,"&lt;&gt;")</f>
        <v>7772.5</v>
      </c>
    </row>
    <row r="8" spans="2:13" ht="17.25" thickBot="1">
      <c r="B8" s="36" t="s">
        <v>59</v>
      </c>
      <c r="C8" s="37">
        <f>SUMIFS(Daily!S:S,Daily!I:I,"수리완료",Daily!M:M,"Ionizer",Daily!G:G,3,Daily!F:F,"&lt;&gt;")+SUMIFS(Daily!S:S,Daily!I:I,"외주수리완료",Daily!M:M,"Ionizer",Daily!G:G,3,Daily!F:F,"&lt;&gt;")</f>
        <v>0</v>
      </c>
      <c r="D8" s="37">
        <f>SUMIFS(Daily!W:W,Daily!I:I,"수리완료",Daily!M:M,"Ionizer",Daily!G:G,3,Daily!F:F,"&lt;&gt;")+SUMIFS(Daily!W:W,Daily!I:I,"외주수리완료",Daily!M:M,"Ionizer",Daily!G:G,3,Daily!F:F,"&lt;&gt;")</f>
        <v>0</v>
      </c>
    </row>
    <row r="9" spans="2:13" ht="17.25" thickBot="1">
      <c r="B9" s="36" t="s">
        <v>60</v>
      </c>
      <c r="C9" s="37">
        <f>SUMIFS(Daily!S:S,Daily!I:I,"수리완료",Daily!M:M,"Ionizer",Daily!G:G,4,Daily!F:F,"&lt;&gt;")+SUMIFS(Daily!S:S,Daily!I:I,"외주수리완료",Daily!M:M,"Ionizer",Daily!G:G,4,Daily!F:F,"&lt;&gt;")</f>
        <v>0</v>
      </c>
      <c r="D9" s="37">
        <f>SUMIFS(Daily!W:W,Daily!I:I,"수리완료",Daily!M:M,"Ionizer",Daily!G:G,4,Daily!F:F,"&lt;&gt;")+SUMIFS(Daily!W:W,Daily!I:I,"외주수리완료",Daily!M:M,"Ionizer",Daily!G:G,4,Daily!F:F,"&lt;&gt;")</f>
        <v>0</v>
      </c>
    </row>
    <row r="10" spans="2:13" ht="17.25" thickBot="1">
      <c r="B10" s="36" t="s">
        <v>44</v>
      </c>
      <c r="C10" s="37">
        <f>SUMIFS(Daily!S:S,Daily!I:I,"수리완료",Daily!M:M,"Ionizer",Daily!G:G,5,Daily!F:F,"&lt;&gt;")+SUMIFS(Daily!S:S,Daily!I:I,"외주수리완료",Daily!M:M,"Ionizer",Daily!G:G,5,Daily!F:F,"&lt;&gt;")</f>
        <v>0</v>
      </c>
      <c r="D10" s="37">
        <f>SUMIFS(Daily!W:W,Daily!I:I,"수리완료",Daily!M:M,"Ionizer",Daily!G:G,5,Daily!F:F,"&lt;&gt;")+SUMIFS(Daily!W:W,Daily!I:I,"외주수리완료",Daily!M:M,"Ionizer",Daily!G:G,5,Daily!F:F,"&lt;&gt;")</f>
        <v>0</v>
      </c>
    </row>
    <row r="11" spans="2:13" ht="17.25" thickBot="1">
      <c r="B11" s="36" t="s">
        <v>61</v>
      </c>
      <c r="C11" s="37">
        <f>SUMIFS(Daily!S:S,Daily!I:I,"수리완료",Daily!M:M,"Ionizer",Daily!G:G,6,Daily!F:F,"&lt;&gt;")+SUMIFS(Daily!S:S,Daily!I:I,"외주수리완료",Daily!M:M,"Ionizer",Daily!G:G,6,Daily!F:F,"&lt;&gt;")</f>
        <v>0</v>
      </c>
      <c r="D11" s="37">
        <f>SUMIFS(Daily!W:W,Daily!I:I,"수리완료",Daily!M:M,"Ionizer",Daily!G:G,6,Daily!F:F,"&lt;&gt;")+SUMIFS(Daily!W:W,Daily!I:I,"외주수리완료",Daily!M:M,"Ionizer",Daily!G:G,6,Daily!F:F,"&lt;&gt;")</f>
        <v>0</v>
      </c>
    </row>
    <row r="12" spans="2:13" ht="17.25" thickBot="1">
      <c r="B12" s="36" t="s">
        <v>46</v>
      </c>
      <c r="C12" s="37">
        <f>SUMIFS(Daily!S:S,Daily!I:I,"수리완료",Daily!M:M,"Ionizer",Daily!G:G,7,Daily!F:F,"&lt;&gt;")+SUMIFS(Daily!S:S,Daily!I:I,"외주수리완료",Daily!M:M,"Ionizer",Daily!G:G,7,Daily!F:F,"&lt;&gt;")</f>
        <v>0</v>
      </c>
      <c r="D12" s="37">
        <f>SUMIFS(Daily!W:W,Daily!I:I,"수리완료",Daily!M:M,"Ionizer",Daily!G:G,7,Daily!F:F,"&lt;&gt;")+SUMIFS(Daily!W:W,Daily!I:I,"외주수리완료",Daily!M:M,"Ionizer",Daily!G:G,7,Daily!F:F,"&lt;&gt;")</f>
        <v>0</v>
      </c>
    </row>
    <row r="13" spans="2:13" ht="17.25" thickBot="1">
      <c r="B13" s="36" t="s">
        <v>62</v>
      </c>
      <c r="C13" s="37">
        <f>SUMIFS(Daily!S:S,Daily!I:I,"수리완료",Daily!M:M,"Ionizer",Daily!G:G,8,Daily!F:F,"&lt;&gt;")+SUMIFS(Daily!S:S,Daily!I:I,"외주수리완료",Daily!M:M,"Ionizer",Daily!G:G,8,Daily!F:F,"&lt;&gt;")</f>
        <v>0</v>
      </c>
      <c r="D13" s="37">
        <f>SUMIFS(Daily!W:W,Daily!I:I,"수리완료",Daily!M:M,"Ionizer",Daily!G:G,8,Daily!F:F,"&lt;&gt;")+SUMIFS(Daily!W:W,Daily!I:I,"외주수리완료",Daily!M:M,"Ionizer",Daily!G:G,8,Daily!F:F,"&lt;&gt;")</f>
        <v>0</v>
      </c>
    </row>
    <row r="14" spans="2:13" ht="17.25" thickBot="1">
      <c r="B14" s="36" t="s">
        <v>63</v>
      </c>
      <c r="C14" s="37">
        <f>SUMIFS(Daily!S:S,Daily!I:I,"수리완료",Daily!M:M,"Ionizer",Daily!G:G,9,Daily!F:F,"&lt;&gt;")+SUMIFS(Daily!S:S,Daily!I:I,"외주수리완료",Daily!M:M,"Ionizer",Daily!G:G,9,Daily!F:F,"&lt;&gt;")</f>
        <v>0</v>
      </c>
      <c r="D14" s="37">
        <f>SUMIFS(Daily!W:W,Daily!I:I,"수리완료",Daily!M:M,"Ionizer",Daily!G:G,9,Daily!F:F,"&lt;&gt;")+SUMIFS(Daily!W:W,Daily!I:I,"외주수리완료",Daily!M:M,"Ionizer",Daily!G:G,9,Daily!F:F,"&lt;&gt;")</f>
        <v>0</v>
      </c>
    </row>
    <row r="15" spans="2:13" ht="17.25" thickBot="1">
      <c r="B15" s="36" t="s">
        <v>64</v>
      </c>
      <c r="C15" s="37">
        <f>SUMIFS(Daily!S:S,Daily!I:I,"수리완료",Daily!M:M,"Ionizer",Daily!G:G,10,Daily!F:F,"&lt;&gt;")+SUMIFS(Daily!S:S,Daily!I:I,"외주수리완료",Daily!M:M,"Ionizer",Daily!G:G,10,Daily!F:F,"&lt;&gt;")</f>
        <v>0</v>
      </c>
      <c r="D15" s="37">
        <f>SUMIFS(Daily!W:W,Daily!I:I,"수리완료",Daily!M:M,"Ionizer",Daily!G:G,10,Daily!F:F,"&lt;&gt;")+SUMIFS(Daily!W:W,Daily!I:I,"외주수리완료",Daily!M:M,"Ionizer",Daily!G:G,10,Daily!F:F,"&lt;&gt;")</f>
        <v>0</v>
      </c>
    </row>
    <row r="16" spans="2:13" ht="17.25" thickBot="1">
      <c r="B16" s="36" t="s">
        <v>65</v>
      </c>
      <c r="C16" s="37">
        <f>SUMIFS(Daily!S:S,Daily!I:I,"수리완료",Daily!M:M,"Ionizer",Daily!G:G,11,Daily!F:F,"&lt;&gt;")+SUMIFS(Daily!S:S,Daily!I:I,"외주수리완료",Daily!M:M,"Ionizer",Daily!G:G,11,Daily!F:F,"&lt;&gt;")</f>
        <v>0</v>
      </c>
      <c r="D16" s="37">
        <f>SUMIFS(Daily!W:W,Daily!I:I,"수리완료",Daily!M:M,"Ionizer",Daily!G:G,11,Daily!F:F,"&lt;&gt;")+SUMIFS(Daily!W:W,Daily!I:I,"외주수리완료",Daily!M:M,"Ionizer",Daily!G:G,11,Daily!F:F,"&lt;&gt;")</f>
        <v>0</v>
      </c>
    </row>
    <row r="17" spans="2:4" ht="17.25" thickBot="1">
      <c r="B17" s="36" t="s">
        <v>66</v>
      </c>
      <c r="C17" s="37">
        <f>SUMIFS(Daily!S:S,Daily!I:I,"수리완료",Daily!M:M,"Ionizer",Daily!G:G,12,Daily!F:F,"&lt;&gt;")+SUMIFS(Daily!S:S,Daily!I:I,"외주수리완료",Daily!M:M,"Ionizer",Daily!G:G,12,Daily!F:F,"&lt;&gt;")</f>
        <v>0</v>
      </c>
      <c r="D17" s="37">
        <f>SUMIFS(Daily!W:W,Daily!I:I,"수리완료",Daily!M:M,"Ionizer",Daily!G:G,12,Daily!F:F,"&lt;&gt;")+SUMIFS(Daily!W:W,Daily!I:I,"외주수리완료",Daily!M:M,"Ionizer",Daily!G:G,12,Daily!F:F,"&lt;&gt;")</f>
        <v>0</v>
      </c>
    </row>
    <row r="18" spans="2:4" ht="17.25" thickBot="1">
      <c r="B18" s="31" t="s">
        <v>72</v>
      </c>
      <c r="C18" s="38">
        <f>SUM(C6:C17)</f>
        <v>29</v>
      </c>
      <c r="D18" s="38">
        <f>SUM(D6:D17)</f>
        <v>10163</v>
      </c>
    </row>
    <row r="19" spans="2:4">
      <c r="C19" s="28"/>
      <c r="D19" s="28"/>
    </row>
    <row r="20" spans="2:4">
      <c r="C20" s="28"/>
      <c r="D20" s="28"/>
    </row>
  </sheetData>
  <mergeCells count="4">
    <mergeCell ref="B1:M2"/>
    <mergeCell ref="B4:B5"/>
    <mergeCell ref="C4:C5"/>
    <mergeCell ref="D4:D5"/>
  </mergeCells>
  <phoneticPr fontId="3" type="noConversion"/>
  <pageMargins left="0.7" right="0.7" top="0.75" bottom="0.75" header="0.3" footer="0.3"/>
  <pageSetup paperSize="9"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B1:L17"/>
  <sheetViews>
    <sheetView showGridLines="0" workbookViewId="0">
      <selection activeCell="F16" sqref="F16"/>
    </sheetView>
  </sheetViews>
  <sheetFormatPr defaultRowHeight="16.5"/>
  <cols>
    <col min="1" max="1" width="2.75" customWidth="1"/>
    <col min="2" max="2" width="11.875" style="20" customWidth="1"/>
    <col min="3" max="6" width="12.375" style="20" customWidth="1"/>
    <col min="7" max="12" width="12.375" customWidth="1"/>
  </cols>
  <sheetData>
    <row r="1" spans="2:12" ht="26.25">
      <c r="B1" s="83" t="s">
        <v>90</v>
      </c>
      <c r="C1" s="84"/>
      <c r="D1" s="84"/>
      <c r="E1" s="84"/>
      <c r="F1" s="84"/>
      <c r="G1" s="35"/>
      <c r="H1" s="35"/>
      <c r="I1" s="35"/>
      <c r="J1" s="35"/>
      <c r="K1" s="35"/>
      <c r="L1" s="35"/>
    </row>
    <row r="2" spans="2:12" ht="21" customHeight="1">
      <c r="B2" s="231" t="s">
        <v>91</v>
      </c>
      <c r="C2" s="234" t="s">
        <v>92</v>
      </c>
      <c r="D2" s="235"/>
      <c r="E2" s="235"/>
      <c r="F2" s="235"/>
      <c r="G2" s="235"/>
      <c r="H2" s="235"/>
      <c r="I2" s="235"/>
      <c r="J2" s="236"/>
      <c r="K2" s="237" t="s">
        <v>93</v>
      </c>
      <c r="L2" s="238"/>
    </row>
    <row r="3" spans="2:12" ht="21" customHeight="1">
      <c r="B3" s="232"/>
      <c r="C3" s="234" t="s">
        <v>94</v>
      </c>
      <c r="D3" s="236"/>
      <c r="E3" s="234" t="s">
        <v>89</v>
      </c>
      <c r="F3" s="236"/>
      <c r="G3" s="234" t="s">
        <v>95</v>
      </c>
      <c r="H3" s="236"/>
      <c r="I3" s="234" t="s">
        <v>30</v>
      </c>
      <c r="J3" s="236"/>
      <c r="K3" s="239"/>
      <c r="L3" s="240"/>
    </row>
    <row r="4" spans="2:12" ht="21" customHeight="1">
      <c r="B4" s="233"/>
      <c r="C4" s="85" t="s">
        <v>85</v>
      </c>
      <c r="D4" s="85" t="s">
        <v>86</v>
      </c>
      <c r="E4" s="85" t="s">
        <v>85</v>
      </c>
      <c r="F4" s="85" t="s">
        <v>86</v>
      </c>
      <c r="G4" s="85" t="s">
        <v>85</v>
      </c>
      <c r="H4" s="85" t="s">
        <v>86</v>
      </c>
      <c r="I4" s="85" t="s">
        <v>85</v>
      </c>
      <c r="J4" s="85" t="s">
        <v>86</v>
      </c>
      <c r="K4" s="85" t="s">
        <v>85</v>
      </c>
      <c r="L4" s="85" t="s">
        <v>86</v>
      </c>
    </row>
    <row r="5" spans="2:12" ht="21" customHeight="1">
      <c r="B5" s="86" t="s">
        <v>20</v>
      </c>
      <c r="C5" s="87"/>
      <c r="D5" s="88"/>
      <c r="E5" s="87">
        <f>SUMIFS(Daily!$S:$S, Daily!$AB:$AB, "*강영구*", Daily!$I:$I, "*수리완료",Daily!$F:$F,"&lt;&gt;", Daily!$G:$G, "=1")</f>
        <v>23</v>
      </c>
      <c r="F5" s="87">
        <f>SUMIFS(Daily!$Z:$Z, Daily!$AB:$AB, "*강영구*", Daily!$I:$I, "*수리완료",Daily!$F:$F,"&lt;&gt;", Daily!$G:$G, "=1")+SUMIFS(Daily!$Z:$Z, Daily!$AB:$AB, "*강영구*", Daily!$I:$I, "폐기",Daily!$F:$F,"&lt;&gt;", Daily!$G:$G, "=1")+SUMIFS(Daily!$Z:$Z, Daily!$AB:$AB, "*강영구*", Daily!$I:$I, "수리불가",Daily!$F:$F,"&lt;&gt;", Daily!$G:$G, "=1")</f>
        <v>84</v>
      </c>
      <c r="G5" s="87"/>
      <c r="H5" s="88"/>
      <c r="I5" s="87">
        <f>SUMIFS(Daily!$S:$S, Daily!$AB:$AB, "*강영구*", Daily!$I:$I, "Other", Daily!$F:$F,"&lt;&gt;", Daily!$G:$G, "=1")</f>
        <v>0</v>
      </c>
      <c r="J5" s="87">
        <f>SUMIFS(Daily!$Z:$Z, Daily!$AB:$AB, "*강영구*", Daily!$I:$I, "Other",Daily!$F:$F,"&lt;&gt;", Daily!$G:$G, "=1")</f>
        <v>0</v>
      </c>
      <c r="K5" s="87">
        <f>C5+E5+G5+I5</f>
        <v>23</v>
      </c>
      <c r="L5" s="88">
        <f>D5+F5+H5+J5</f>
        <v>84</v>
      </c>
    </row>
    <row r="6" spans="2:12" ht="21" customHeight="1">
      <c r="B6" s="86" t="s">
        <v>35</v>
      </c>
      <c r="C6" s="87"/>
      <c r="D6" s="88"/>
      <c r="E6" s="87">
        <f>SUMIFS(Daily!$S:$S, Daily!$AB:$AB, "*강영구*", Daily!$I:$I, "*수리완료",Daily!$F:$F,"&lt;&gt;", Daily!$G:$G, "=2")</f>
        <v>27</v>
      </c>
      <c r="F6" s="87">
        <f>SUMIFS(Daily!$Z:$Z, Daily!$AB:$AB, "*강영구*", Daily!$I:$I, "*수리완료",Daily!$F:$F,"&lt;&gt;", Daily!$G:$G, "=2")+SUMIFS(Daily!$Z:$Z, Daily!$AB:$AB, "*강영구*", Daily!$I:$I, "폐기",Daily!$F:$F,"&lt;&gt;", Daily!$G:$G, "=2")+SUMIFS(Daily!$Z:$Z, Daily!$AB:$AB, "*강영구*", Daily!$I:$I, "수리불가",Daily!$F:$F,"&lt;&gt;", Daily!$G:$G, "=2")</f>
        <v>107</v>
      </c>
      <c r="G6" s="87"/>
      <c r="H6" s="88"/>
      <c r="I6" s="87">
        <f>SUMIFS(Daily!$S:$S, Daily!$AB:$AB, "*강영구*", Daily!$I:$I, "Other", Daily!$F:$F,"&lt;&gt;", Daily!$G:$G, "=2")</f>
        <v>0</v>
      </c>
      <c r="J6" s="87">
        <f>SUMIFS(Daily!$Z:$Z, Daily!$AB:$AB, "*강영구*", Daily!$I:$I, "Other",Daily!$F:$F,"&lt;&gt;", Daily!$G:$G, "=2")</f>
        <v>0</v>
      </c>
      <c r="K6" s="87">
        <f t="shared" ref="K6:L16" si="0">C6+E6+G6+I6</f>
        <v>27</v>
      </c>
      <c r="L6" s="88">
        <f t="shared" si="0"/>
        <v>107</v>
      </c>
    </row>
    <row r="7" spans="2:12" ht="21" customHeight="1">
      <c r="B7" s="86" t="s">
        <v>18</v>
      </c>
      <c r="C7" s="87"/>
      <c r="D7" s="88"/>
      <c r="E7" s="87">
        <f>SUMIFS(Daily!$S:$S, Daily!$AB:$AB, "*강영구*", Daily!$I:$I, "*수리완료",Daily!$F:$F,"&lt;&gt;", Daily!$G:$G, "=3")</f>
        <v>3</v>
      </c>
      <c r="F7" s="87">
        <f>SUMIFS(Daily!$Z:$Z, Daily!$AB:$AB, "*강영구*", Daily!$I:$I, "*수리완료",Daily!$F:$F,"&lt;&gt;", Daily!$G:$G, "=3")+SUMIFS(Daily!$Z:$Z, Daily!$AB:$AB, "*강영구*", Daily!$I:$I, "폐기",Daily!$F:$F,"&lt;&gt;", Daily!$G:$G, "=3")+SUMIFS(Daily!$Z:$Z, Daily!$AB:$AB, "*강영구*", Daily!$I:$I, "수리불가",Daily!$F:$F,"&lt;&gt;", Daily!$G:$G, "=3")</f>
        <v>14</v>
      </c>
      <c r="G7" s="87"/>
      <c r="H7" s="88"/>
      <c r="I7" s="87">
        <f>SUMIFS(Daily!$S:$S, Daily!$AB:$AB, "*강영구*", Daily!$I:$I, "Other", Daily!$F:$F,"&lt;&gt;", Daily!$G:$G, "=3")</f>
        <v>0</v>
      </c>
      <c r="J7" s="87">
        <f>SUMIFS(Daily!$Z:$Z, Daily!$AB:$AB, "*강영구*", Daily!$I:$I, "Other",Daily!$F:$F,"&lt;&gt;", Daily!$G:$G, "=3")</f>
        <v>0</v>
      </c>
      <c r="K7" s="87">
        <f t="shared" si="0"/>
        <v>3</v>
      </c>
      <c r="L7" s="88">
        <f t="shared" si="0"/>
        <v>14</v>
      </c>
    </row>
    <row r="8" spans="2:12" ht="21" customHeight="1">
      <c r="B8" s="86" t="s">
        <v>36</v>
      </c>
      <c r="C8" s="87"/>
      <c r="D8" s="88"/>
      <c r="E8" s="87">
        <f>SUMIFS(Daily!$S:$S, Daily!$AB:$AB, "*강영구*", Daily!$I:$I, "*수리완료",Daily!$F:$F,"&lt;&gt;", Daily!$G:$G, "=4")</f>
        <v>0</v>
      </c>
      <c r="F8" s="87">
        <f>SUMIFS(Daily!$Z:$Z, Daily!$AB:$AB, "*강영구*", Daily!$I:$I, "*수리완료",Daily!$F:$F,"&lt;&gt;", Daily!$G:$G, "=4")+SUMIFS(Daily!$Z:$Z, Daily!$AB:$AB, "*강영구*", Daily!$I:$I, "폐기",Daily!$F:$F,"&lt;&gt;", Daily!$G:$G, "=4")+SUMIFS(Daily!$Z:$Z, Daily!$AB:$AB, "*강영구*", Daily!$I:$I, "수리불가",Daily!$F:$F,"&lt;&gt;", Daily!$G:$G, "=4")</f>
        <v>0</v>
      </c>
      <c r="G8" s="87"/>
      <c r="H8" s="88"/>
      <c r="I8" s="87">
        <f>SUMIFS(Daily!$S:$S, Daily!$AB:$AB, "*강영구*", Daily!$I:$I, "Other", Daily!$F:$F,"&lt;&gt;", Daily!$G:$G, "=4")</f>
        <v>0</v>
      </c>
      <c r="J8" s="87">
        <f>SUMIFS(Daily!$Z:$Z, Daily!$AB:$AB, "*강영구*", Daily!$I:$I, "Other",Daily!$F:$F,"&lt;&gt;", Daily!$G:$G, "=4")</f>
        <v>0</v>
      </c>
      <c r="K8" s="87">
        <f t="shared" si="0"/>
        <v>0</v>
      </c>
      <c r="L8" s="88">
        <f t="shared" si="0"/>
        <v>0</v>
      </c>
    </row>
    <row r="9" spans="2:12" ht="21" customHeight="1">
      <c r="B9" s="86" t="s">
        <v>44</v>
      </c>
      <c r="C9" s="87"/>
      <c r="D9" s="88"/>
      <c r="E9" s="87">
        <f>SUMIFS(Daily!$S:$S, Daily!$AB:$AB, "*강영구*", Daily!$I:$I, "*수리완료",Daily!$F:$F,"&lt;&gt;", Daily!$G:$G, "=5")</f>
        <v>0</v>
      </c>
      <c r="F9" s="87">
        <f>SUMIFS(Daily!$Z:$Z, Daily!$AB:$AB, "*강영구*", Daily!$I:$I, "*수리완료",Daily!$F:$F,"&lt;&gt;", Daily!$G:$G, "=5")+SUMIFS(Daily!$Z:$Z, Daily!$AB:$AB, "*강영구*", Daily!$I:$I, "폐기",Daily!$F:$F,"&lt;&gt;", Daily!$G:$G, "=5")+SUMIFS(Daily!$Z:$Z, Daily!$AB:$AB, "*강영구*", Daily!$I:$I, "수리불가",Daily!$F:$F,"&lt;&gt;", Daily!$G:$G, "=5")</f>
        <v>0</v>
      </c>
      <c r="G9" s="87"/>
      <c r="H9" s="88"/>
      <c r="I9" s="87">
        <f>SUMIFS(Daily!$S:$S, Daily!$AB:$AB, "*강영구*", Daily!$I:$I, "Other", Daily!$F:$F,"&lt;&gt;", Daily!$G:$G, "=5")</f>
        <v>0</v>
      </c>
      <c r="J9" s="87">
        <f>SUMIFS(Daily!$Z:$Z, Daily!$AB:$AB, "*강영구*", Daily!$I:$I, "Other",Daily!$F:$F,"&lt;&gt;", Daily!$G:$G, "=5")</f>
        <v>0</v>
      </c>
      <c r="K9" s="87">
        <f t="shared" si="0"/>
        <v>0</v>
      </c>
      <c r="L9" s="88">
        <f t="shared" si="0"/>
        <v>0</v>
      </c>
    </row>
    <row r="10" spans="2:12" ht="21" customHeight="1">
      <c r="B10" s="86" t="s">
        <v>43</v>
      </c>
      <c r="C10" s="87"/>
      <c r="D10" s="88"/>
      <c r="E10" s="87">
        <f>SUMIFS(Daily!$S:$S, Daily!$AB:$AB, "*강영구*", Daily!$I:$I, "*수리완료",Daily!$F:$F,"&lt;&gt;", Daily!$G:$G, "=6")</f>
        <v>0</v>
      </c>
      <c r="F10" s="87">
        <f>SUMIFS(Daily!$Z:$Z, Daily!$AB:$AB, "*강영구*", Daily!$I:$I, "*수리완료",Daily!$F:$F,"&lt;&gt;", Daily!$G:$G, "=6")+SUMIFS(Daily!$Z:$Z, Daily!$AB:$AB, "*강영구*", Daily!$I:$I, "폐기",Daily!$F:$F,"&lt;&gt;", Daily!$G:$G, "=6")+SUMIFS(Daily!$Z:$Z, Daily!$AB:$AB, "*강영구*", Daily!$I:$I, "수리불가",Daily!$F:$F,"&lt;&gt;", Daily!$G:$G, "=6")</f>
        <v>0</v>
      </c>
      <c r="G10" s="87"/>
      <c r="H10" s="88"/>
      <c r="I10" s="87">
        <f>SUMIFS(Daily!$S:$S, Daily!$AB:$AB, "*강영구*", Daily!$I:$I, "Other", Daily!$F:$F,"&lt;&gt;", Daily!$G:$G, "=6")</f>
        <v>0</v>
      </c>
      <c r="J10" s="87">
        <f>SUMIFS(Daily!$Z:$Z, Daily!$AB:$AB, "*강영구*", Daily!$I:$I, "Other",Daily!$F:$F,"&lt;&gt;", Daily!$G:$G, "=6")</f>
        <v>0</v>
      </c>
      <c r="K10" s="87">
        <f t="shared" si="0"/>
        <v>0</v>
      </c>
      <c r="L10" s="88">
        <f t="shared" si="0"/>
        <v>0</v>
      </c>
    </row>
    <row r="11" spans="2:12" ht="21" customHeight="1">
      <c r="B11" s="86" t="s">
        <v>46</v>
      </c>
      <c r="C11" s="87"/>
      <c r="D11" s="88"/>
      <c r="E11" s="87">
        <f>SUMIFS(Daily!$S:$S, Daily!$AB:$AB, "*강영구*", Daily!$I:$I, "*수리완료",Daily!$F:$F,"&lt;&gt;", Daily!$G:$G, "=7")</f>
        <v>0</v>
      </c>
      <c r="F11" s="87">
        <f>SUMIFS(Daily!$Z:$Z, Daily!$AB:$AB, "*강영구*", Daily!$I:$I, "*수리완료",Daily!$F:$F,"&lt;&gt;", Daily!$G:$G, "=7")+SUMIFS(Daily!$Z:$Z, Daily!$AB:$AB, "*강영구*", Daily!$I:$I, "폐기",Daily!$F:$F,"&lt;&gt;", Daily!$G:$G, "=7")+SUMIFS(Daily!$Z:$Z, Daily!$AB:$AB, "*강영구*", Daily!$I:$I, "수리불가",Daily!$F:$F,"&lt;&gt;", Daily!$G:$G, "=7")</f>
        <v>0</v>
      </c>
      <c r="G11" s="87"/>
      <c r="H11" s="88"/>
      <c r="I11" s="87">
        <f>SUMIFS(Daily!$S:$S, Daily!$AB:$AB, "*강영구*", Daily!$I:$I, "Other", Daily!$F:$F,"&lt;&gt;", Daily!$G:$G, "=7")</f>
        <v>0</v>
      </c>
      <c r="J11" s="87">
        <f>SUMIFS(Daily!$Z:$Z, Daily!$AB:$AB, "*강영구*", Daily!$I:$I, "Other",Daily!$F:$F,"&lt;&gt;", Daily!$G:$G, "=7")</f>
        <v>0</v>
      </c>
      <c r="K11" s="87">
        <f t="shared" si="0"/>
        <v>0</v>
      </c>
      <c r="L11" s="88">
        <f t="shared" si="0"/>
        <v>0</v>
      </c>
    </row>
    <row r="12" spans="2:12" ht="21" customHeight="1">
      <c r="B12" s="86" t="s">
        <v>48</v>
      </c>
      <c r="C12" s="87"/>
      <c r="D12" s="88"/>
      <c r="E12" s="87">
        <f>SUMIFS(Daily!$S:$S, Daily!$AB:$AB, "*강영구*", Daily!$I:$I, "*수리완료",Daily!$F:$F,"&lt;&gt;", Daily!$G:$G, "=8")</f>
        <v>0</v>
      </c>
      <c r="F12" s="87">
        <f>SUMIFS(Daily!$Z:$Z, Daily!$AB:$AB, "*강영구*", Daily!$I:$I, "*수리완료",Daily!$F:$F,"&lt;&gt;", Daily!$G:$G, "=8")+SUMIFS(Daily!$Z:$Z, Daily!$AB:$AB, "*강영구*", Daily!$I:$I, "폐기",Daily!$F:$F,"&lt;&gt;", Daily!$G:$G, "=8")+SUMIFS(Daily!$Z:$Z, Daily!$AB:$AB, "*강영구*", Daily!$I:$I, "수리불가",Daily!$F:$F,"&lt;&gt;", Daily!$G:$G, "=8")</f>
        <v>0</v>
      </c>
      <c r="G12" s="87"/>
      <c r="H12" s="88"/>
      <c r="I12" s="87">
        <f>SUMIFS(Daily!$S:$S, Daily!$AB:$AB, "*강영구*", Daily!$I:$I, "Other", Daily!$F:$F,"&lt;&gt;", Daily!$G:$G, "=8")</f>
        <v>0</v>
      </c>
      <c r="J12" s="87">
        <f>SUMIFS(Daily!$Z:$Z, Daily!$AB:$AB, "*강영구*", Daily!$I:$I, "Other",Daily!$F:$F,"&lt;&gt;", Daily!$G:$G, "=8")</f>
        <v>0</v>
      </c>
      <c r="K12" s="87">
        <f t="shared" si="0"/>
        <v>0</v>
      </c>
      <c r="L12" s="88">
        <f t="shared" si="0"/>
        <v>0</v>
      </c>
    </row>
    <row r="13" spans="2:12" ht="21" customHeight="1">
      <c r="B13" s="86" t="s">
        <v>19</v>
      </c>
      <c r="C13" s="87"/>
      <c r="D13" s="88"/>
      <c r="E13" s="87">
        <f>SUMIFS(Daily!$S:$S, Daily!$AB:$AB, "*강영구*", Daily!$I:$I, "*수리완료",Daily!$F:$F,"&lt;&gt;", Daily!$G:$G, "=9")</f>
        <v>0</v>
      </c>
      <c r="F13" s="87">
        <f>SUMIFS(Daily!$Z:$Z, Daily!$AB:$AB, "*강영구*", Daily!$I:$I, "*수리완료",Daily!$F:$F,"&lt;&gt;", Daily!$G:$G, "=9")+SUMIFS(Daily!$Z:$Z, Daily!$AB:$AB, "*강영구*", Daily!$I:$I, "폐기",Daily!$F:$F,"&lt;&gt;", Daily!$G:$G, "=9")+SUMIFS(Daily!$Z:$Z, Daily!$AB:$AB, "*강영구*", Daily!$I:$I, "수리불가",Daily!$F:$F,"&lt;&gt;", Daily!$G:$G, "=9")</f>
        <v>0</v>
      </c>
      <c r="G13" s="87"/>
      <c r="H13" s="88"/>
      <c r="I13" s="87">
        <f>SUMIFS(Daily!$S:$S, Daily!$AB:$AB, "*강영구*", Daily!$I:$I, "Other", Daily!$F:$F,"&lt;&gt;", Daily!$G:$G, "=9")</f>
        <v>0</v>
      </c>
      <c r="J13" s="87">
        <f>SUMIFS(Daily!$Z:$Z, Daily!$AB:$AB, "*강영구*", Daily!$I:$I, "Other",Daily!$F:$F,"&lt;&gt;", Daily!$G:$G, "=9")</f>
        <v>0</v>
      </c>
      <c r="K13" s="87">
        <f t="shared" si="0"/>
        <v>0</v>
      </c>
      <c r="L13" s="88">
        <f t="shared" si="0"/>
        <v>0</v>
      </c>
    </row>
    <row r="14" spans="2:12" ht="21" customHeight="1">
      <c r="B14" s="86" t="s">
        <v>96</v>
      </c>
      <c r="C14" s="87"/>
      <c r="D14" s="88"/>
      <c r="E14" s="87">
        <f>SUMIFS(Daily!$S:$S, Daily!$AB:$AB, "*강영구*", Daily!$I:$I, "*수리완료",Daily!$F:$F,"&lt;&gt;", Daily!$G:$G, "=10")</f>
        <v>0</v>
      </c>
      <c r="F14" s="87">
        <f>SUMIFS(Daily!$Z:$Z, Daily!$AB:$AB, "*강영구*", Daily!$I:$I, "*수리완료",Daily!$F:$F,"&lt;&gt;", Daily!$G:$G, "=10")+SUMIFS(Daily!$Z:$Z, Daily!$AB:$AB, "*강영구*", Daily!$I:$I, "폐기",Daily!$F:$F,"&lt;&gt;", Daily!$G:$G, "=10")+SUMIFS(Daily!$Z:$Z, Daily!$AB:$AB, "*강영구*", Daily!$I:$I, "수리불가",Daily!$F:$F,"&lt;&gt;", Daily!$G:$G, "=10")</f>
        <v>0</v>
      </c>
      <c r="G14" s="87"/>
      <c r="H14" s="88"/>
      <c r="I14" s="87">
        <f>SUMIFS(Daily!$S:$S, Daily!$AB:$AB, "*강영구*", Daily!$I:$I, "Other", Daily!$F:$F,"&lt;&gt;", Daily!$G:$G, "=10")</f>
        <v>0</v>
      </c>
      <c r="J14" s="87">
        <f>SUMIFS(Daily!$Z:$Z, Daily!$AB:$AB, "*강영구*", Daily!$I:$I, "Other",Daily!$F:$F,"&lt;&gt;", Daily!$G:$G, "=10")</f>
        <v>0</v>
      </c>
      <c r="K14" s="87">
        <f t="shared" si="0"/>
        <v>0</v>
      </c>
      <c r="L14" s="88">
        <f t="shared" si="0"/>
        <v>0</v>
      </c>
    </row>
    <row r="15" spans="2:12" ht="21" customHeight="1">
      <c r="B15" s="86" t="s">
        <v>24</v>
      </c>
      <c r="C15" s="87"/>
      <c r="D15" s="88"/>
      <c r="E15" s="87">
        <f>SUMIFS(Daily!$S:$S, Daily!$AB:$AB, "*강영구*", Daily!$I:$I, "*수리완료",Daily!$F:$F,"&lt;&gt;", Daily!$G:$G, "=11")</f>
        <v>0</v>
      </c>
      <c r="F15" s="87">
        <f>SUMIFS(Daily!$Z:$Z, Daily!$AB:$AB, "*강영구*", Daily!$I:$I, "*수리완료",Daily!$F:$F,"&lt;&gt;", Daily!$G:$G, "=11")+SUMIFS(Daily!$Z:$Z, Daily!$AB:$AB, "*강영구*", Daily!$I:$I, "폐기",Daily!$F:$F,"&lt;&gt;", Daily!$G:$G, "=11")+SUMIFS(Daily!$Z:$Z, Daily!$AB:$AB, "*강영구*", Daily!$I:$I, "수리불가",Daily!$F:$F,"&lt;&gt;", Daily!$G:$G, "=11")</f>
        <v>0</v>
      </c>
      <c r="G15" s="87"/>
      <c r="H15" s="88"/>
      <c r="I15" s="87">
        <f>SUMIFS(Daily!$S:$S, Daily!$AB:$AB, "*강영구*", Daily!$I:$I, "Other", Daily!$F:$F,"&lt;&gt;", Daily!$G:$G, "=11")</f>
        <v>0</v>
      </c>
      <c r="J15" s="87">
        <f>SUMIFS(Daily!$Z:$Z, Daily!$AB:$AB, "*강영구*", Daily!$I:$I, "Other",Daily!$F:$F,"&lt;&gt;", Daily!$G:$G, "=11")</f>
        <v>0</v>
      </c>
      <c r="K15" s="87">
        <f t="shared" si="0"/>
        <v>0</v>
      </c>
      <c r="L15" s="88">
        <f t="shared" si="0"/>
        <v>0</v>
      </c>
    </row>
    <row r="16" spans="2:12" ht="21" customHeight="1">
      <c r="B16" s="86" t="s">
        <v>25</v>
      </c>
      <c r="C16" s="87"/>
      <c r="D16" s="88"/>
      <c r="E16" s="87">
        <f>SUMIFS(Daily!$S:$S, Daily!$AB:$AB, "*강영구*", Daily!$I:$I, "*수리완료",Daily!$F:$F,"&lt;&gt;", Daily!$G:$G, "=12")</f>
        <v>0</v>
      </c>
      <c r="F16" s="87">
        <f>SUMIFS(Daily!$Z:$Z, Daily!$AB:$AB, "*강영구*", Daily!$I:$I, "수리완료",Daily!$F:$F,"&lt;&gt;", Daily!$G:$G, "=12")+SUMIFS(Daily!$Z:$Z, Daily!$AB:$AB, "*강영구*", Daily!$I:$I, "폐기",Daily!$F:$F,"&lt;&gt;", Daily!$G:$G, "=12")+SUMIFS(Daily!$Z:$Z, Daily!$AB:$AB, "*강영구*", Daily!$I:$I, "수리불가",Daily!$F:$F,"&lt;&gt;", Daily!$G:$G, "=12")</f>
        <v>0</v>
      </c>
      <c r="G16" s="87"/>
      <c r="H16" s="88"/>
      <c r="I16" s="87">
        <f>SUMIFS(Daily!$S:$S, Daily!$AB:$AB, "*강영구*", Daily!$I:$I, "Other", Daily!$F:$F,"&lt;&gt;", Daily!$G:$G, "=12")</f>
        <v>0</v>
      </c>
      <c r="J16" s="87">
        <f>SUMIFS(Daily!$Z:$Z, Daily!$AB:$AB, "*강영구*", Daily!$I:$I, "Other",Daily!$F:$F,"&lt;&gt;", Daily!$G:$G, "=12")</f>
        <v>0</v>
      </c>
      <c r="K16" s="87">
        <f t="shared" si="0"/>
        <v>0</v>
      </c>
      <c r="L16" s="88">
        <f t="shared" si="0"/>
        <v>0</v>
      </c>
    </row>
    <row r="17" spans="2:12" ht="21" customHeight="1">
      <c r="B17" s="85" t="s">
        <v>93</v>
      </c>
      <c r="C17" s="89">
        <f t="shared" ref="C17:L17" si="1">SUM(C5:C16)</f>
        <v>0</v>
      </c>
      <c r="D17" s="85">
        <f t="shared" si="1"/>
        <v>0</v>
      </c>
      <c r="E17" s="89">
        <f t="shared" si="1"/>
        <v>53</v>
      </c>
      <c r="F17" s="90">
        <f t="shared" si="1"/>
        <v>205</v>
      </c>
      <c r="G17" s="89">
        <f t="shared" si="1"/>
        <v>0</v>
      </c>
      <c r="H17" s="90">
        <f t="shared" si="1"/>
        <v>0</v>
      </c>
      <c r="I17" s="89">
        <f t="shared" si="1"/>
        <v>0</v>
      </c>
      <c r="J17" s="90">
        <f t="shared" si="1"/>
        <v>0</v>
      </c>
      <c r="K17" s="89">
        <f t="shared" si="1"/>
        <v>53</v>
      </c>
      <c r="L17" s="90">
        <f t="shared" si="1"/>
        <v>205</v>
      </c>
    </row>
  </sheetData>
  <mergeCells count="7">
    <mergeCell ref="B2:B4"/>
    <mergeCell ref="C2:J2"/>
    <mergeCell ref="K2:L3"/>
    <mergeCell ref="C3:D3"/>
    <mergeCell ref="E3:F3"/>
    <mergeCell ref="G3:H3"/>
    <mergeCell ref="I3:J3"/>
  </mergeCells>
  <phoneticPr fontId="3" type="noConversion"/>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B1:L17"/>
  <sheetViews>
    <sheetView showGridLines="0" zoomScaleNormal="100" workbookViewId="0">
      <selection activeCell="F15" sqref="F15"/>
    </sheetView>
  </sheetViews>
  <sheetFormatPr defaultRowHeight="16.5"/>
  <cols>
    <col min="1" max="1" width="2.75" customWidth="1"/>
    <col min="2" max="2" width="11.875" style="20" customWidth="1"/>
    <col min="3" max="6" width="12.375" style="20" customWidth="1"/>
    <col min="7" max="12" width="12.375" customWidth="1"/>
  </cols>
  <sheetData>
    <row r="1" spans="2:12" ht="26.25">
      <c r="B1" s="83" t="s">
        <v>90</v>
      </c>
      <c r="C1" s="84"/>
      <c r="D1" s="84"/>
      <c r="E1" s="84"/>
      <c r="F1" s="84"/>
      <c r="G1" s="35"/>
      <c r="H1" s="35"/>
      <c r="I1" s="35"/>
      <c r="J1" s="35"/>
      <c r="K1" s="35"/>
      <c r="L1" s="35"/>
    </row>
    <row r="2" spans="2:12" ht="21" customHeight="1">
      <c r="B2" s="231" t="s">
        <v>91</v>
      </c>
      <c r="C2" s="234" t="s">
        <v>92</v>
      </c>
      <c r="D2" s="235"/>
      <c r="E2" s="235"/>
      <c r="F2" s="235"/>
      <c r="G2" s="235"/>
      <c r="H2" s="235"/>
      <c r="I2" s="235"/>
      <c r="J2" s="236"/>
      <c r="K2" s="237" t="s">
        <v>93</v>
      </c>
      <c r="L2" s="238"/>
    </row>
    <row r="3" spans="2:12" ht="21" customHeight="1">
      <c r="B3" s="232"/>
      <c r="C3" s="234" t="s">
        <v>94</v>
      </c>
      <c r="D3" s="236"/>
      <c r="E3" s="234" t="s">
        <v>89</v>
      </c>
      <c r="F3" s="236"/>
      <c r="G3" s="234" t="s">
        <v>95</v>
      </c>
      <c r="H3" s="236"/>
      <c r="I3" s="234" t="s">
        <v>30</v>
      </c>
      <c r="J3" s="236"/>
      <c r="K3" s="239"/>
      <c r="L3" s="240"/>
    </row>
    <row r="4" spans="2:12" ht="21" customHeight="1">
      <c r="B4" s="233"/>
      <c r="C4" s="85" t="s">
        <v>85</v>
      </c>
      <c r="D4" s="85" t="s">
        <v>86</v>
      </c>
      <c r="E4" s="85" t="s">
        <v>85</v>
      </c>
      <c r="F4" s="85" t="s">
        <v>86</v>
      </c>
      <c r="G4" s="85" t="s">
        <v>85</v>
      </c>
      <c r="H4" s="85" t="s">
        <v>86</v>
      </c>
      <c r="I4" s="85" t="s">
        <v>85</v>
      </c>
      <c r="J4" s="85" t="s">
        <v>86</v>
      </c>
      <c r="K4" s="85" t="s">
        <v>85</v>
      </c>
      <c r="L4" s="85" t="s">
        <v>86</v>
      </c>
    </row>
    <row r="5" spans="2:12" ht="21" customHeight="1">
      <c r="B5" s="86" t="s">
        <v>20</v>
      </c>
      <c r="C5" s="87"/>
      <c r="D5" s="88"/>
      <c r="E5" s="87">
        <f>SUMIFS(Daily!$S:$S, Daily!$AB:$AB, "*장은철*", Daily!$I:$I, "수리완료",Daily!$F:$F,"&lt;&gt;", Daily!$G:$G, "=1")+SUMIFS(Daily!$S:$S, Daily!$AB:$AB, "*장은철*", Daily!$I:$I, "외주수리완료",Daily!$F:$F,"&lt;&gt;", Daily!$G:$G, "=1")</f>
        <v>42</v>
      </c>
      <c r="F5" s="87">
        <f>SUMIFS(Daily!$Z:$Z, Daily!$AB:$AB, "*장은철*", Daily!$I:$I, "*수리완료",Daily!$F:$F,"&lt;&gt;", Daily!$G:$G, "=1")+SUMIFS(Daily!$Z:$Z, Daily!$AB:$AB, "*장은철*", Daily!$I:$I, "수리불가",Daily!$F:$F,"&lt;&gt;", Daily!$G:$G, "=1")+SUMIFS(Daily!$Z:$Z, Daily!$AB:$AB, "*장은철*", Daily!$I:$I, "폐기",Daily!$F:$F,"&lt;&gt;", Daily!$G:$G, "=1")</f>
        <v>57</v>
      </c>
      <c r="G5" s="87"/>
      <c r="H5" s="88"/>
      <c r="I5" s="87">
        <f>SUMIFS(Daily!$S:$S, Daily!$AB:$AB, "*장은철*", Daily!$I:$I, "Other", Daily!$F:$F,"&lt;&gt;", Daily!$G:$G, "=1")</f>
        <v>3</v>
      </c>
      <c r="J5" s="87">
        <f>SUMIFS(Daily!$Z:$Z, Daily!$AB:$AB, "*장은철*", Daily!$I:$I, "Other",Daily!$F:$F,"&lt;&gt;", Daily!$G:$G, "=1")</f>
        <v>8</v>
      </c>
      <c r="K5" s="87">
        <f>C5+E5+G5+I5</f>
        <v>45</v>
      </c>
      <c r="L5" s="88">
        <f>D5+F5+H5+J5</f>
        <v>65</v>
      </c>
    </row>
    <row r="6" spans="2:12" ht="21" customHeight="1">
      <c r="B6" s="86" t="s">
        <v>35</v>
      </c>
      <c r="C6" s="87"/>
      <c r="D6" s="88"/>
      <c r="E6" s="87">
        <f>SUMIFS(Daily!$S:$S, Daily!$AB:$AB, "*장은철*", Daily!$I:$I, "수리완료",Daily!$F:$F,"&lt;&gt;", Daily!$G:$G, "=2")+SUMIFS(Daily!$S:$S, Daily!$AB:$AB, "*장은철*", Daily!$I:$I, "외주수리완료",Daily!$F:$F,"&lt;&gt;", Daily!$G:$G, "=2")</f>
        <v>41</v>
      </c>
      <c r="F6" s="87">
        <f>SUMIFS(Daily!$Z:$Z, Daily!$AB:$AB, "*장은철*", Daily!$I:$I, "*수리완료",Daily!$F:$F,"&lt;&gt;", Daily!$G:$G, "=2")+SUMIFS(Daily!$Z:$Z, Daily!$AB:$AB, "*장은철*", Daily!$I:$I, "폐기",Daily!$F:$F,"&lt;&gt;", Daily!$G:$G, "=2")+SUMIFS(Daily!$Z:$Z, Daily!$AB:$AB, "*장은철*", Daily!$I:$I, "수리불가",Daily!$F:$F,"&lt;&gt;", Daily!$G:$G, "=2")</f>
        <v>117</v>
      </c>
      <c r="G6" s="87"/>
      <c r="H6" s="88"/>
      <c r="I6" s="87">
        <f>SUMIFS(Daily!$S:$S, Daily!$AB:$AB, "*장은철*", Daily!$I:$I, "Other", Daily!$F:$F,"&lt;&gt;", Daily!$G:$G, "=2")</f>
        <v>0</v>
      </c>
      <c r="J6" s="87">
        <f>SUMIFS(Daily!$Z:$Z, Daily!$AB:$AB, "*장은철*", Daily!$I:$I, "Other",Daily!$F:$F,"&lt;&gt;", Daily!$G:$G, "=2")</f>
        <v>0</v>
      </c>
      <c r="K6" s="87">
        <f t="shared" ref="K6:L16" si="0">C6+E6+G6+I6</f>
        <v>41</v>
      </c>
      <c r="L6" s="88">
        <f t="shared" si="0"/>
        <v>117</v>
      </c>
    </row>
    <row r="7" spans="2:12" ht="21" customHeight="1">
      <c r="B7" s="86" t="s">
        <v>18</v>
      </c>
      <c r="C7" s="87"/>
      <c r="D7" s="88"/>
      <c r="E7" s="87">
        <f>SUMIFS(Daily!$S:$S, Daily!$AB:$AB, "*장은철*", Daily!$I:$I, "수리완료",Daily!$F:$F,"&lt;&gt;", Daily!$G:$G, "=3")+SUMIFS(Daily!$S:$S, Daily!$AB:$AB, "*장은철*", Daily!$I:$I, "외주수리완료",Daily!$F:$F,"&lt;&gt;", Daily!$G:$G, "=3")</f>
        <v>3</v>
      </c>
      <c r="F7" s="87">
        <f>SUMIFS(Daily!$Z:$Z, Daily!$AB:$AB, "*장은철*", Daily!$I:$I, "*수리완료",Daily!$F:$F,"&lt;&gt;", Daily!$G:$G, "=3")+SUMIFS(Daily!$Z:$Z, Daily!$AB:$AB, "*장은철*", Daily!$I:$I, "폐기",Daily!$F:$F,"&lt;&gt;", Daily!$G:$G, "=3")+SUMIFS(Daily!$Z:$Z, Daily!$AB:$AB, "*장은철*", Daily!$I:$I, "수리불가",Daily!$F:$F,"&lt;&gt;", Daily!$G:$G, "=3")</f>
        <v>6</v>
      </c>
      <c r="G7" s="87"/>
      <c r="H7" s="88"/>
      <c r="I7" s="87">
        <f>SUMIFS(Daily!$S:$S, Daily!$AB:$AB, "*장은철*", Daily!$I:$I, "Other", Daily!$F:$F,"&lt;&gt;", Daily!$G:$G, "=3")</f>
        <v>2</v>
      </c>
      <c r="J7" s="87">
        <f>SUMIFS(Daily!$Z:$Z, Daily!$AB:$AB, "*장은철*", Daily!$I:$I, "Other",Daily!$F:$F,"&lt;&gt;", Daily!$G:$G, "=3")</f>
        <v>4</v>
      </c>
      <c r="K7" s="87">
        <f t="shared" si="0"/>
        <v>5</v>
      </c>
      <c r="L7" s="88">
        <f t="shared" si="0"/>
        <v>10</v>
      </c>
    </row>
    <row r="8" spans="2:12" ht="21" customHeight="1">
      <c r="B8" s="86" t="s">
        <v>36</v>
      </c>
      <c r="C8" s="87"/>
      <c r="D8" s="88"/>
      <c r="E8" s="87">
        <f>SUMIFS(Daily!$S:$S, Daily!$AB:$AB, "*장은철*", Daily!$I:$I, "수리완료",Daily!$F:$F,"&lt;&gt;", Daily!$G:$G, "=4")+SUMIFS(Daily!$S:$S, Daily!$AB:$AB, "*장은철*", Daily!$I:$I, "외주수리완료",Daily!$F:$F,"&lt;&gt;", Daily!$G:$G, "=4")</f>
        <v>0</v>
      </c>
      <c r="F8" s="87">
        <f>SUMIFS(Daily!$Z:$Z, Daily!$AB:$AB, "*장은철*", Daily!$I:$I, "*수리완료",Daily!$F:$F,"&lt;&gt;", Daily!$G:$G, "=4")+SUMIFS(Daily!$Z:$Z, Daily!$AB:$AB, "*장은철*", Daily!$I:$I, "폐기",Daily!$F:$F,"&lt;&gt;", Daily!$G:$G, "=4")+SUMIFS(Daily!$Z:$Z, Daily!$AB:$AB, "*장은철*", Daily!$I:$I, "수리불가",Daily!$F:$F,"&lt;&gt;", Daily!$G:$G, "=4")</f>
        <v>0</v>
      </c>
      <c r="G8" s="87"/>
      <c r="H8" s="88"/>
      <c r="I8" s="87">
        <f>SUMIFS(Daily!$S:$S, Daily!$AB:$AB, "*장은철*", Daily!$I:$I, "Other", Daily!$F:$F,"&lt;&gt;", Daily!$G:$G, "=4")</f>
        <v>0</v>
      </c>
      <c r="J8" s="87">
        <f>SUMIFS(Daily!$Z:$Z, Daily!$AB:$AB, "*장은철*", Daily!$I:$I, "Other",Daily!$F:$F,"&lt;&gt;", Daily!$G:$G, "=4")</f>
        <v>0</v>
      </c>
      <c r="K8" s="87">
        <f t="shared" si="0"/>
        <v>0</v>
      </c>
      <c r="L8" s="88">
        <f t="shared" si="0"/>
        <v>0</v>
      </c>
    </row>
    <row r="9" spans="2:12" ht="21" customHeight="1">
      <c r="B9" s="86" t="s">
        <v>44</v>
      </c>
      <c r="C9" s="87"/>
      <c r="D9" s="88"/>
      <c r="E9" s="87">
        <f>SUMIFS(Daily!$S:$S, Daily!$AB:$AB, "*장은철*", Daily!$I:$I, "수리완료",Daily!$F:$F,"&lt;&gt;", Daily!$G:$G, "=5")+SUMIFS(Daily!$S:$S, Daily!$AB:$AB, "*장은철*", Daily!$I:$I, "외주수리완료",Daily!$F:$F,"&lt;&gt;", Daily!$G:$G, "=5")</f>
        <v>0</v>
      </c>
      <c r="F9" s="87">
        <f>SUMIFS(Daily!$Z:$Z, Daily!$AB:$AB, "*장은철*", Daily!$I:$I, "*수리완료",Daily!$F:$F,"&lt;&gt;", Daily!$G:$G, "=5")+SUMIFS(Daily!$Z:$Z, Daily!$AB:$AB, "*장은철*", Daily!$I:$I, "폐기",Daily!$F:$F,"&lt;&gt;", Daily!$G:$G, "=5")+SUMIFS(Daily!$Z:$Z, Daily!$AB:$AB, "*장은철*", Daily!$I:$I, "수리불가",Daily!$F:$F,"&lt;&gt;", Daily!$G:$G, "=5")</f>
        <v>0</v>
      </c>
      <c r="G9" s="87"/>
      <c r="H9" s="88"/>
      <c r="I9" s="87">
        <f>SUMIFS(Daily!$S:$S, Daily!$AB:$AB, "*장은철*", Daily!$I:$I, "Other", Daily!$F:$F,"&lt;&gt;", Daily!$G:$G, "=5")</f>
        <v>0</v>
      </c>
      <c r="J9" s="87">
        <f>SUMIFS(Daily!$Z:$Z, Daily!$AB:$AB, "*장은철*", Daily!$I:$I, "Other",Daily!$F:$F,"&lt;&gt;", Daily!$G:$G, "=5")</f>
        <v>0</v>
      </c>
      <c r="K9" s="87">
        <f t="shared" si="0"/>
        <v>0</v>
      </c>
      <c r="L9" s="88">
        <f t="shared" si="0"/>
        <v>0</v>
      </c>
    </row>
    <row r="10" spans="2:12" ht="21" customHeight="1">
      <c r="B10" s="86" t="s">
        <v>43</v>
      </c>
      <c r="C10" s="87"/>
      <c r="D10" s="88"/>
      <c r="E10" s="87">
        <f>SUMIFS(Daily!$S:$S, Daily!$AB:$AB, "*장은철*", Daily!$I:$I, "수리완료",Daily!$F:$F,"&lt;&gt;", Daily!$G:$G, "=6")+SUMIFS(Daily!$S:$S, Daily!$AB:$AB, "*장은철*", Daily!$I:$I, "외주수리완료",Daily!$F:$F,"&lt;&gt;", Daily!$G:$G, "=6")</f>
        <v>0</v>
      </c>
      <c r="F10" s="87">
        <f>SUMIFS(Daily!$Z:$Z, Daily!$AB:$AB, "*장은철*", Daily!$I:$I, "*수리완료",Daily!$F:$F,"&lt;&gt;", Daily!$G:$G, "=6")+SUMIFS(Daily!$Z:$Z, Daily!$AB:$AB, "*장은철*", Daily!$I:$I, "폐기",Daily!$F:$F,"&lt;&gt;", Daily!$G:$G, "=6")+SUMIFS(Daily!$Z:$Z, Daily!$AB:$AB, "*장은철*", Daily!$I:$I, "수리불가",Daily!$F:$F,"&lt;&gt;", Daily!$G:$G, "=6")</f>
        <v>0</v>
      </c>
      <c r="G10" s="87"/>
      <c r="H10" s="88"/>
      <c r="I10" s="87">
        <f>SUMIFS(Daily!$S:$S, Daily!$AB:$AB, "*장은철*", Daily!$I:$I, "Other", Daily!$F:$F,"&lt;&gt;", Daily!$G:$G, "=6")</f>
        <v>0</v>
      </c>
      <c r="J10" s="87">
        <f>SUMIFS(Daily!$Z:$Z, Daily!$AB:$AB, "*장은철*", Daily!$I:$I, "Other",Daily!$F:$F,"&lt;&gt;", Daily!$G:$G, "=6")</f>
        <v>0</v>
      </c>
      <c r="K10" s="87">
        <f t="shared" si="0"/>
        <v>0</v>
      </c>
      <c r="L10" s="88">
        <f t="shared" si="0"/>
        <v>0</v>
      </c>
    </row>
    <row r="11" spans="2:12" ht="21" customHeight="1">
      <c r="B11" s="86" t="s">
        <v>46</v>
      </c>
      <c r="C11" s="87"/>
      <c r="D11" s="88"/>
      <c r="E11" s="87">
        <f>SUMIFS(Daily!$S:$S, Daily!$AB:$AB, "*장은철*", Daily!$I:$I, "수리완료",Daily!$F:$F,"&lt;&gt;", Daily!$G:$G, "=7")+SUMIFS(Daily!$S:$S, Daily!$AB:$AB, "*장은철*", Daily!$I:$I, "외주수리완료",Daily!$F:$F,"&lt;&gt;", Daily!$G:$G, "=7")</f>
        <v>0</v>
      </c>
      <c r="F11" s="87">
        <f>SUMIFS(Daily!$Z:$Z, Daily!$AB:$AB, "*장은철*", Daily!$I:$I, "*수리완료",Daily!$F:$F,"&lt;&gt;", Daily!$G:$G, "=7")+SUMIFS(Daily!$Z:$Z, Daily!$AB:$AB, "*장은철*", Daily!$I:$I, "폐기",Daily!$F:$F,"&lt;&gt;", Daily!$G:$G, "=7")+SUMIFS(Daily!$Z:$Z, Daily!$AB:$AB, "*장은철*", Daily!$I:$I, "수리불가",Daily!$F:$F,"&lt;&gt;", Daily!$G:$G, "=7")</f>
        <v>0</v>
      </c>
      <c r="G11" s="87"/>
      <c r="H11" s="88"/>
      <c r="I11" s="87">
        <f>SUMIFS(Daily!$S:$S, Daily!$AB:$AB, "*장은철*", Daily!$I:$I, "Other", Daily!$F:$F,"&lt;&gt;", Daily!$G:$G, "=7")</f>
        <v>0</v>
      </c>
      <c r="J11" s="87">
        <f>SUMIFS(Daily!$Z:$Z, Daily!$AB:$AB, "*장은철*", Daily!$I:$I, "Other",Daily!$F:$F,"&lt;&gt;", Daily!$G:$G, "=7")</f>
        <v>0</v>
      </c>
      <c r="K11" s="87">
        <f t="shared" si="0"/>
        <v>0</v>
      </c>
      <c r="L11" s="88">
        <f t="shared" si="0"/>
        <v>0</v>
      </c>
    </row>
    <row r="12" spans="2:12" ht="21" customHeight="1">
      <c r="B12" s="86" t="s">
        <v>48</v>
      </c>
      <c r="C12" s="87"/>
      <c r="D12" s="88"/>
      <c r="E12" s="87">
        <f>SUMIFS(Daily!$S:$S, Daily!$AB:$AB, "*장은철*", Daily!$I:$I, "수리완료",Daily!$F:$F,"&lt;&gt;", Daily!$G:$G, "=8")+SUMIFS(Daily!$S:$S, Daily!$AB:$AB, "*장은철*", Daily!$I:$I, "외주수리완료",Daily!$F:$F,"&lt;&gt;", Daily!$G:$G, "=8")</f>
        <v>0</v>
      </c>
      <c r="F12" s="87">
        <f>SUMIFS(Daily!$Z:$Z, Daily!$AB:$AB, "*장은철*", Daily!$I:$I, "*수리완료",Daily!$F:$F,"&lt;&gt;", Daily!$G:$G, "=8")+SUMIFS(Daily!$Z:$Z, Daily!$AB:$AB, "*장은철*", Daily!$I:$I, "폐기",Daily!$F:$F,"&lt;&gt;", Daily!$G:$G, "=8")+SUMIFS(Daily!$Z:$Z, Daily!$AB:$AB, "*장은철*", Daily!$I:$I, "수리불가",Daily!$F:$F,"&lt;&gt;", Daily!$G:$G, "=8")</f>
        <v>0</v>
      </c>
      <c r="G12" s="87"/>
      <c r="H12" s="88"/>
      <c r="I12" s="87">
        <f>SUMIFS(Daily!$S:$S, Daily!$AB:$AB, "*장은철*", Daily!$I:$I, "Other", Daily!$F:$F,"&lt;&gt;", Daily!$G:$G, "=8")</f>
        <v>0</v>
      </c>
      <c r="J12" s="87">
        <f>SUMIFS(Daily!$Z:$Z, Daily!$AB:$AB, "*장은철*", Daily!$I:$I, "Other",Daily!$F:$F,"&lt;&gt;", Daily!$G:$G, "=8")</f>
        <v>0</v>
      </c>
      <c r="K12" s="87">
        <f t="shared" si="0"/>
        <v>0</v>
      </c>
      <c r="L12" s="88">
        <f t="shared" si="0"/>
        <v>0</v>
      </c>
    </row>
    <row r="13" spans="2:12" ht="21" customHeight="1">
      <c r="B13" s="86" t="s">
        <v>19</v>
      </c>
      <c r="C13" s="87"/>
      <c r="D13" s="88"/>
      <c r="E13" s="87">
        <f>SUMIFS(Daily!$S:$S, Daily!$AB:$AB, "*장은철*", Daily!$I:$I, "수리완료",Daily!$F:$F,"&lt;&gt;", Daily!$G:$G, "=9")+SUMIFS(Daily!$S:$S, Daily!$AB:$AB, "*장은철*", Daily!$I:$I, "외주수리완료",Daily!$F:$F,"&lt;&gt;", Daily!$G:$G, "=9")</f>
        <v>0</v>
      </c>
      <c r="F13" s="87">
        <f>SUMIFS(Daily!$Z:$Z, Daily!$AB:$AB, "*장은철*", Daily!$I:$I, "*수리완료",Daily!$F:$F,"&lt;&gt;", Daily!$G:$G, "=9")+SUMIFS(Daily!$Z:$Z, Daily!$AB:$AB, "*장은철*", Daily!$I:$I, "폐기",Daily!$F:$F,"&lt;&gt;", Daily!$G:$G, "=9")+SUMIFS(Daily!$Z:$Z, Daily!$AB:$AB, "*장은철*", Daily!$I:$I, "수리불가",Daily!$F:$F,"&lt;&gt;", Daily!$G:$G, "=9")</f>
        <v>0</v>
      </c>
      <c r="G13" s="87"/>
      <c r="H13" s="88"/>
      <c r="I13" s="87">
        <f>SUMIFS(Daily!$S:$S, Daily!$AB:$AB, "*장은철*", Daily!$I:$I, "Other", Daily!$F:$F,"&lt;&gt;", Daily!$G:$G, "=9")</f>
        <v>0</v>
      </c>
      <c r="J13" s="87">
        <f>SUMIFS(Daily!$Z:$Z, Daily!$AB:$AB, "*장은철*", Daily!$I:$I, "Other",Daily!$F:$F,"&lt;&gt;", Daily!$G:$G, "=9")</f>
        <v>0</v>
      </c>
      <c r="K13" s="87">
        <f t="shared" si="0"/>
        <v>0</v>
      </c>
      <c r="L13" s="88">
        <f t="shared" si="0"/>
        <v>0</v>
      </c>
    </row>
    <row r="14" spans="2:12" ht="21" customHeight="1">
      <c r="B14" s="86" t="s">
        <v>96</v>
      </c>
      <c r="C14" s="87"/>
      <c r="D14" s="88"/>
      <c r="E14" s="87">
        <f>SUMIFS(Daily!$S:$S, Daily!$AB:$AB, "*장은철*", Daily!$I:$I, "수리완료",Daily!$F:$F,"&lt;&gt;", Daily!$G:$G, "=10")+SUMIFS(Daily!$S:$S, Daily!$AB:$AB, "*장은철*", Daily!$I:$I, "외주수리완료",Daily!$F:$F,"&lt;&gt;", Daily!$G:$G, "=10")</f>
        <v>0</v>
      </c>
      <c r="F14" s="87">
        <f>SUMIFS(Daily!$Z:$Z, Daily!$AB:$AB, "*장은철*", Daily!$I:$I, "*수리완료",Daily!$F:$F,"&lt;&gt;", Daily!$G:$G, "=10")+SUMIFS(Daily!$Z:$Z, Daily!$AB:$AB, "*장은철*", Daily!$I:$I, "폐기",Daily!$F:$F,"&lt;&gt;", Daily!$G:$G, "=10")+SUMIFS(Daily!$Z:$Z, Daily!$AB:$AB, "*장은철*", Daily!$I:$I, "수리불가",Daily!$F:$F,"&lt;&gt;", Daily!$G:$G, "=10")</f>
        <v>0</v>
      </c>
      <c r="G14" s="87"/>
      <c r="H14" s="88"/>
      <c r="I14" s="87">
        <f>SUMIFS(Daily!$S:$S, Daily!$AB:$AB, "*장은철*", Daily!$I:$I, "Other", Daily!$F:$F,"&lt;&gt;", Daily!$G:$G, "=10")</f>
        <v>0</v>
      </c>
      <c r="J14" s="87">
        <f>SUMIFS(Daily!$Z:$Z, Daily!$AB:$AB, "*장은철*", Daily!$I:$I, "Other",Daily!$F:$F,"&lt;&gt;", Daily!$G:$G, "=10")</f>
        <v>0</v>
      </c>
      <c r="K14" s="87">
        <f t="shared" si="0"/>
        <v>0</v>
      </c>
      <c r="L14" s="88">
        <f t="shared" si="0"/>
        <v>0</v>
      </c>
    </row>
    <row r="15" spans="2:12" ht="21" customHeight="1">
      <c r="B15" s="86" t="s">
        <v>24</v>
      </c>
      <c r="C15" s="87"/>
      <c r="D15" s="88"/>
      <c r="E15" s="87">
        <f>SUMIFS(Daily!$S:$S, Daily!$AB:$AB, "*장은철*", Daily!$I:$I, "수리완료",Daily!$F:$F,"&lt;&gt;", Daily!$G:$G, "=11")+SUMIFS(Daily!$S:$S, Daily!$AB:$AB, "*장은철*", Daily!$I:$I, "외주수리완료",Daily!$F:$F,"&lt;&gt;", Daily!$G:$G, "=11")</f>
        <v>0</v>
      </c>
      <c r="F15" s="87">
        <f>SUMIFS(Daily!$Z:$Z, Daily!$AB:$AB, "*장은철*", Daily!$I:$I, "*수리완료",Daily!$F:$F,"&lt;&gt;", Daily!$G:$G, "=11")+SUMIFS(Daily!$Z:$Z, Daily!$AB:$AB, "*장은철*", Daily!$I:$I, "폐기",Daily!$F:$F,"&lt;&gt;", Daily!$G:$G, "=11")+SUMIFS(Daily!$Z:$Z, Daily!$AB:$AB, "*장은철*", Daily!$I:$I, "수리불가",Daily!$F:$F,"&lt;&gt;", Daily!$G:$G, "=11")</f>
        <v>0</v>
      </c>
      <c r="G15" s="87"/>
      <c r="H15" s="88"/>
      <c r="I15" s="87">
        <f>SUMIFS(Daily!$S:$S, Daily!$AB:$AB, "*장은철*", Daily!$I:$I, "Other", Daily!$F:$F,"&lt;&gt;", Daily!$G:$G, "=11")</f>
        <v>0</v>
      </c>
      <c r="J15" s="87">
        <f>SUMIFS(Daily!$Z:$Z, Daily!$AB:$AB, "*장은철*", Daily!$I:$I, "Other",Daily!$F:$F,"&lt;&gt;", Daily!$G:$G, "=11")</f>
        <v>0</v>
      </c>
      <c r="K15" s="87">
        <f t="shared" si="0"/>
        <v>0</v>
      </c>
      <c r="L15" s="88">
        <f t="shared" si="0"/>
        <v>0</v>
      </c>
    </row>
    <row r="16" spans="2:12" ht="21" customHeight="1">
      <c r="B16" s="86" t="s">
        <v>25</v>
      </c>
      <c r="C16" s="87"/>
      <c r="D16" s="88"/>
      <c r="E16" s="87">
        <f>SUMIFS(Daily!$S:$S, Daily!$AB:$AB, "*장은철*", Daily!$I:$I, "수리완료",Daily!$F:$F,"&lt;&gt;", Daily!$G:$G, "=12")+SUMIFS(Daily!$S:$S, Daily!$AB:$AB, "*장은철*", Daily!$I:$I, "외주수리완료",Daily!$F:$F,"&lt;&gt;", Daily!$G:$G, "=12")</f>
        <v>0</v>
      </c>
      <c r="F16" s="87">
        <f>SUMIFS(Daily!$Z:$Z, Daily!$AB:$AB, "*장은철*", Daily!$I:$I, "*수리완료",Daily!$F:$F,"&lt;&gt;", Daily!$G:$G, "=12")+SUMIFS(Daily!$Z:$Z, Daily!$AB:$AB, "*장은철*", Daily!$I:$I, "폐기",Daily!$F:$F,"&lt;&gt;", Daily!$G:$G, "=12")+SUMIFS(Daily!$Z:$Z, Daily!$AB:$AB, "*장은철*", Daily!$I:$I, "수리불가",Daily!$F:$F,"&lt;&gt;", Daily!$G:$G, "=12")</f>
        <v>0</v>
      </c>
      <c r="G16" s="87"/>
      <c r="H16" s="88"/>
      <c r="I16" s="87">
        <f>SUMIFS(Daily!$S:$S, Daily!$AB:$AB, "*장은철*", Daily!$I:$I, "Other", Daily!$F:$F,"&lt;&gt;", Daily!$G:$G, "=12")</f>
        <v>0</v>
      </c>
      <c r="J16" s="87">
        <f>SUMIFS(Daily!$Z:$Z, Daily!$AB:$AB, "*장은철*", Daily!$I:$I, "Other",Daily!$F:$F,"&lt;&gt;", Daily!$G:$G, "=12")</f>
        <v>0</v>
      </c>
      <c r="K16" s="87">
        <f t="shared" si="0"/>
        <v>0</v>
      </c>
      <c r="L16" s="88">
        <f t="shared" si="0"/>
        <v>0</v>
      </c>
    </row>
    <row r="17" spans="2:12" ht="21" customHeight="1">
      <c r="B17" s="85" t="s">
        <v>93</v>
      </c>
      <c r="C17" s="89">
        <f t="shared" ref="C17:L17" si="1">SUM(C5:C16)</f>
        <v>0</v>
      </c>
      <c r="D17" s="85">
        <f t="shared" si="1"/>
        <v>0</v>
      </c>
      <c r="E17" s="89">
        <f t="shared" si="1"/>
        <v>86</v>
      </c>
      <c r="F17" s="90">
        <f t="shared" si="1"/>
        <v>180</v>
      </c>
      <c r="G17" s="89">
        <f t="shared" si="1"/>
        <v>0</v>
      </c>
      <c r="H17" s="90">
        <f t="shared" si="1"/>
        <v>0</v>
      </c>
      <c r="I17" s="89">
        <f t="shared" si="1"/>
        <v>5</v>
      </c>
      <c r="J17" s="90">
        <f>SUM(J5:J16)</f>
        <v>12</v>
      </c>
      <c r="K17" s="89">
        <f t="shared" si="1"/>
        <v>91</v>
      </c>
      <c r="L17" s="90">
        <f t="shared" si="1"/>
        <v>192</v>
      </c>
    </row>
  </sheetData>
  <mergeCells count="7">
    <mergeCell ref="B2:B4"/>
    <mergeCell ref="C2:J2"/>
    <mergeCell ref="K2:L3"/>
    <mergeCell ref="C3:D3"/>
    <mergeCell ref="E3:F3"/>
    <mergeCell ref="G3:H3"/>
    <mergeCell ref="I3:J3"/>
  </mergeCells>
  <phoneticPr fontId="3" type="noConversion"/>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B1:L17"/>
  <sheetViews>
    <sheetView showGridLines="0" workbookViewId="0">
      <selection activeCell="F13" sqref="F13"/>
    </sheetView>
  </sheetViews>
  <sheetFormatPr defaultRowHeight="16.5"/>
  <cols>
    <col min="1" max="1" width="2.75" customWidth="1"/>
    <col min="2" max="2" width="11.875" style="20" customWidth="1"/>
    <col min="3" max="6" width="12.375" style="20" customWidth="1"/>
    <col min="7" max="12" width="12.375" customWidth="1"/>
  </cols>
  <sheetData>
    <row r="1" spans="2:12" ht="26.25">
      <c r="B1" s="83" t="s">
        <v>90</v>
      </c>
      <c r="C1" s="84"/>
      <c r="D1" s="84"/>
      <c r="E1" s="84"/>
      <c r="F1" s="84"/>
      <c r="G1" s="35"/>
      <c r="H1" s="35"/>
      <c r="I1" s="35"/>
      <c r="J1" s="35"/>
      <c r="K1" s="35"/>
      <c r="L1" s="35"/>
    </row>
    <row r="2" spans="2:12" ht="21" customHeight="1">
      <c r="B2" s="231" t="s">
        <v>91</v>
      </c>
      <c r="C2" s="234" t="s">
        <v>92</v>
      </c>
      <c r="D2" s="235"/>
      <c r="E2" s="235"/>
      <c r="F2" s="235"/>
      <c r="G2" s="235"/>
      <c r="H2" s="235"/>
      <c r="I2" s="235"/>
      <c r="J2" s="236"/>
      <c r="K2" s="237" t="s">
        <v>93</v>
      </c>
      <c r="L2" s="238"/>
    </row>
    <row r="3" spans="2:12" ht="21" customHeight="1">
      <c r="B3" s="232"/>
      <c r="C3" s="234" t="s">
        <v>94</v>
      </c>
      <c r="D3" s="236"/>
      <c r="E3" s="234" t="s">
        <v>89</v>
      </c>
      <c r="F3" s="236"/>
      <c r="G3" s="234" t="s">
        <v>95</v>
      </c>
      <c r="H3" s="236"/>
      <c r="I3" s="234" t="s">
        <v>30</v>
      </c>
      <c r="J3" s="236"/>
      <c r="K3" s="239"/>
      <c r="L3" s="240"/>
    </row>
    <row r="4" spans="2:12" ht="21" customHeight="1">
      <c r="B4" s="233"/>
      <c r="C4" s="85" t="s">
        <v>85</v>
      </c>
      <c r="D4" s="85" t="s">
        <v>86</v>
      </c>
      <c r="E4" s="85" t="s">
        <v>85</v>
      </c>
      <c r="F4" s="85" t="s">
        <v>86</v>
      </c>
      <c r="G4" s="85" t="s">
        <v>85</v>
      </c>
      <c r="H4" s="85" t="s">
        <v>86</v>
      </c>
      <c r="I4" s="85" t="s">
        <v>85</v>
      </c>
      <c r="J4" s="85" t="s">
        <v>86</v>
      </c>
      <c r="K4" s="85" t="s">
        <v>85</v>
      </c>
      <c r="L4" s="85" t="s">
        <v>86</v>
      </c>
    </row>
    <row r="5" spans="2:12" ht="21" customHeight="1">
      <c r="B5" s="86" t="s">
        <v>20</v>
      </c>
      <c r="C5" s="87"/>
      <c r="D5" s="88"/>
      <c r="E5" s="87">
        <f>SUMIFS(Daily!$S:$S, Daily!$AB:$AB, "*허준영*", Daily!$I:$I, "수리완료",Daily!$F:$F,"&lt;&gt;", Daily!$G:$G, "=1")+SUMIFS(Daily!$S:$S, Daily!$AB:$AB, "*허준영*", Daily!$I:$I, "외주수리완료",Daily!$F:$F,"&lt;&gt;", Daily!$G:$G, "=1")</f>
        <v>31</v>
      </c>
      <c r="F5" s="87">
        <f>SUMIFS(Daily!$Z:$Z, Daily!$AB:$AB, "*허준영*", Daily!$I:$I, "*수리완료",Daily!$F:$F,"&lt;&gt;", Daily!$G:$G, "=1")+SUMIFS(Daily!$Z:$Z, Daily!$AB:$AB, "*허준영*", Daily!$I:$I, "폐기",Daily!$F:$F,"&lt;&gt;", Daily!$G:$G, "=1")+SUMIFS(Daily!$Z:$Z, Daily!$AB:$AB, "*허준영*", Daily!$I:$I, "수리불가",Daily!$F:$F,"&lt;&gt;", Daily!$G:$G, "=1")</f>
        <v>87</v>
      </c>
      <c r="G5" s="87"/>
      <c r="H5" s="88"/>
      <c r="I5" s="87">
        <f>SUMIFS(Daily!$S:$S, Daily!$AB:$AB, "*허준영*", Daily!$I:$I, "Other", Daily!$F:$F,"&lt;&gt;", Daily!$G:$G, "=1")</f>
        <v>2</v>
      </c>
      <c r="J5" s="87">
        <f>SUMIFS(Daily!$Z:$Z, Daily!$AB:$AB, "*허준영*", Daily!$I:$I, "Other",Daily!$F:$F,"&lt;&gt;", Daily!$G:$G, "=1")</f>
        <v>6</v>
      </c>
      <c r="K5" s="87">
        <f>C5+E5+G5+I5</f>
        <v>33</v>
      </c>
      <c r="L5" s="88">
        <f>D5+F5+H5+J5</f>
        <v>93</v>
      </c>
    </row>
    <row r="6" spans="2:12" ht="21" customHeight="1">
      <c r="B6" s="86" t="s">
        <v>35</v>
      </c>
      <c r="C6" s="87"/>
      <c r="D6" s="88"/>
      <c r="E6" s="87">
        <f>SUMIFS(Daily!$S:$S, Daily!$AB:$AB, "*허준영*", Daily!$I:$I, "수리완료",Daily!$F:$F,"&lt;&gt;", Daily!$G:$G, "=2")+SUMIFS(Daily!$S:$S, Daily!$AB:$AB, "*허준영*", Daily!$I:$I, "외주수리완료",Daily!$F:$F,"&lt;&gt;", Daily!$G:$G, "=2")</f>
        <v>26</v>
      </c>
      <c r="F6" s="87">
        <f>SUMIFS(Daily!$Z:$Z, Daily!$AB:$AB, "*허준영*", Daily!$I:$I, "*수리완료",Daily!$F:$F,"&lt;&gt;", Daily!$G:$G, "=2")+SUMIFS(Daily!$Z:$Z, Daily!$AB:$AB, "*허준영*", Daily!$I:$I, "폐기",Daily!$F:$F,"&lt;&gt;", Daily!$G:$G, "=2")+SUMIFS(Daily!$Z:$Z, Daily!$AB:$AB, "*허준영*", Daily!$I:$I, "수리불가",Daily!$F:$F,"&lt;&gt;", Daily!$G:$G, "=2")</f>
        <v>103</v>
      </c>
      <c r="G6" s="87"/>
      <c r="H6" s="88"/>
      <c r="I6" s="87">
        <f>SUMIFS(Daily!$S:$S, Daily!$AB:$AB, "*허준영*", Daily!$I:$I, "Other", Daily!$F:$F,"&lt;&gt;", Daily!$G:$G, "=2")</f>
        <v>3</v>
      </c>
      <c r="J6" s="87">
        <f>SUMIFS(Daily!$Z:$Z, Daily!$AB:$AB, "*허준영*", Daily!$I:$I, "Other",Daily!$F:$F,"&lt;&gt;", Daily!$G:$G, "=2")</f>
        <v>3</v>
      </c>
      <c r="K6" s="87">
        <f t="shared" ref="K6:L16" si="0">C6+E6+G6+I6</f>
        <v>29</v>
      </c>
      <c r="L6" s="88">
        <f t="shared" si="0"/>
        <v>106</v>
      </c>
    </row>
    <row r="7" spans="2:12" ht="21" customHeight="1">
      <c r="B7" s="86" t="s">
        <v>18</v>
      </c>
      <c r="C7" s="87"/>
      <c r="D7" s="88"/>
      <c r="E7" s="87">
        <f>SUMIFS(Daily!$S:$S, Daily!$AB:$AB, "*허준영*", Daily!$I:$I, "수리완료",Daily!$F:$F,"&lt;&gt;", Daily!$G:$G, "=3")+SUMIFS(Daily!$S:$S, Daily!$AB:$AB, "*허준영*", Daily!$I:$I, "외주수리완료",Daily!$F:$F,"&lt;&gt;", Daily!$G:$G, "=3")</f>
        <v>3</v>
      </c>
      <c r="F7" s="87">
        <f>SUMIFS(Daily!$Z:$Z, Daily!$AB:$AB, "*허준영*", Daily!$I:$I, "*수리완료",Daily!$F:$F,"&lt;&gt;", Daily!$G:$G, "=3")+SUMIFS(Daily!$Z:$Z, Daily!$AB:$AB, "*허준영*", Daily!$I:$I, "폐기",Daily!$F:$F,"&lt;&gt;", Daily!$G:$G, "=3")+SUMIFS(Daily!$Z:$Z, Daily!$AB:$AB, "*허준영*", Daily!$I:$I, "수리불가",Daily!$F:$F,"&lt;&gt;", Daily!$G:$G, "=3")</f>
        <v>8</v>
      </c>
      <c r="G7" s="87"/>
      <c r="H7" s="88"/>
      <c r="I7" s="87">
        <f>SUMIFS(Daily!$S:$S, Daily!$AB:$AB, "*허준영*", Daily!$I:$I, "Other", Daily!$F:$F,"&lt;&gt;", Daily!$G:$G, "=3")</f>
        <v>3</v>
      </c>
      <c r="J7" s="87">
        <f>SUMIFS(Daily!$Z:$Z, Daily!$AB:$AB, "*허준영*", Daily!$I:$I, "Other",Daily!$F:$F,"&lt;&gt;", Daily!$G:$G, "=3")</f>
        <v>8</v>
      </c>
      <c r="K7" s="87">
        <f t="shared" si="0"/>
        <v>6</v>
      </c>
      <c r="L7" s="88">
        <f t="shared" si="0"/>
        <v>16</v>
      </c>
    </row>
    <row r="8" spans="2:12" ht="21" customHeight="1">
      <c r="B8" s="86" t="s">
        <v>36</v>
      </c>
      <c r="C8" s="87"/>
      <c r="D8" s="88"/>
      <c r="E8" s="87">
        <f>SUMIFS(Daily!$S:$S, Daily!$AB:$AB, "*허준영*", Daily!$I:$I, "수리완료",Daily!$F:$F,"&lt;&gt;", Daily!$G:$G, "=4")+SUMIFS(Daily!$S:$S, Daily!$AB:$AB, "*허준영*", Daily!$I:$I, "외주수리완료",Daily!$F:$F,"&lt;&gt;", Daily!$G:$G, "=4")</f>
        <v>0</v>
      </c>
      <c r="F8" s="87">
        <f>SUMIFS(Daily!$Z:$Z, Daily!$AB:$AB, "*허준영*", Daily!$I:$I, "*수리완료",Daily!$F:$F,"&lt;&gt;", Daily!$G:$G, "=4")+SUMIFS(Daily!$Z:$Z, Daily!$AB:$AB, "*허준영*", Daily!$I:$I, "폐기",Daily!$F:$F,"&lt;&gt;", Daily!$G:$G, "=4")+SUMIFS(Daily!$Z:$Z, Daily!$AB:$AB, "*허준영*", Daily!$I:$I, "수리불가",Daily!$F:$F,"&lt;&gt;", Daily!$G:$G, "=4")</f>
        <v>0</v>
      </c>
      <c r="G8" s="87"/>
      <c r="H8" s="88"/>
      <c r="I8" s="87">
        <f>SUMIFS(Daily!$S:$S, Daily!$AB:$AB, "*허준영*", Daily!$I:$I, "Other", Daily!$F:$F,"&lt;&gt;", Daily!$G:$G, "=4")</f>
        <v>0</v>
      </c>
      <c r="J8" s="87">
        <f>SUMIFS(Daily!$Z:$Z, Daily!$AB:$AB, "*허준영*", Daily!$I:$I, "Other",Daily!$F:$F,"&lt;&gt;", Daily!$G:$G, "=4")</f>
        <v>0</v>
      </c>
      <c r="K8" s="87">
        <f t="shared" si="0"/>
        <v>0</v>
      </c>
      <c r="L8" s="88">
        <f t="shared" si="0"/>
        <v>0</v>
      </c>
    </row>
    <row r="9" spans="2:12" ht="21" customHeight="1">
      <c r="B9" s="86" t="s">
        <v>44</v>
      </c>
      <c r="C9" s="87"/>
      <c r="D9" s="88"/>
      <c r="E9" s="87">
        <f>SUMIFS(Daily!$S:$S, Daily!$AB:$AB, "*허준영*", Daily!$I:$I, "수리완료",Daily!$F:$F,"&lt;&gt;", Daily!$G:$G, "=5")+SUMIFS(Daily!$S:$S, Daily!$AB:$AB, "*허준영*", Daily!$I:$I, "외주수리완료",Daily!$F:$F,"&lt;&gt;", Daily!$G:$G, "=5")</f>
        <v>0</v>
      </c>
      <c r="F9" s="87">
        <f>SUMIFS(Daily!$Z:$Z, Daily!$AB:$AB, "*허준영*", Daily!$I:$I, "*수리완료",Daily!$F:$F,"&lt;&gt;", Daily!$G:$G, "=5")+SUMIFS(Daily!$Z:$Z, Daily!$AB:$AB, "*허준영*", Daily!$I:$I, "폐기",Daily!$F:$F,"&lt;&gt;", Daily!$G:$G, "=5")+SUMIFS(Daily!$Z:$Z, Daily!$AB:$AB, "*허준영*", Daily!$I:$I, "수리불가",Daily!$F:$F,"&lt;&gt;", Daily!$G:$G, "=5")</f>
        <v>0</v>
      </c>
      <c r="G9" s="87"/>
      <c r="H9" s="88"/>
      <c r="I9" s="87">
        <f>SUMIFS(Daily!$S:$S, Daily!$AB:$AB, "*허준영*", Daily!$I:$I, "Other", Daily!$F:$F,"&lt;&gt;", Daily!$G:$G, "=5")</f>
        <v>0</v>
      </c>
      <c r="J9" s="87">
        <f>SUMIFS(Daily!$Z:$Z, Daily!$AB:$AB, "*허준영*", Daily!$I:$I, "Other",Daily!$F:$F,"&lt;&gt;", Daily!$G:$G, "=5")</f>
        <v>0</v>
      </c>
      <c r="K9" s="87">
        <f t="shared" si="0"/>
        <v>0</v>
      </c>
      <c r="L9" s="88">
        <f t="shared" si="0"/>
        <v>0</v>
      </c>
    </row>
    <row r="10" spans="2:12" ht="21" customHeight="1">
      <c r="B10" s="86" t="s">
        <v>43</v>
      </c>
      <c r="C10" s="87"/>
      <c r="D10" s="88"/>
      <c r="E10" s="87">
        <f>SUMIFS(Daily!$S:$S, Daily!$AB:$AB, "*허준영*", Daily!$I:$I, "수리완료",Daily!$F:$F,"&lt;&gt;", Daily!$G:$G, "=6")+SUMIFS(Daily!$S:$S, Daily!$AB:$AB, "*허준영*", Daily!$I:$I, "외주수리완료",Daily!$F:$F,"&lt;&gt;", Daily!$G:$G, "=6")</f>
        <v>0</v>
      </c>
      <c r="F10" s="87">
        <f>SUMIFS(Daily!$Z:$Z, Daily!$AB:$AB, "*허준영*", Daily!$I:$I, "*수리완료",Daily!$F:$F,"&lt;&gt;", Daily!$G:$G, "=6")+SUMIFS(Daily!$Z:$Z, Daily!$AB:$AB, "*허준영*", Daily!$I:$I, "폐기",Daily!$F:$F,"&lt;&gt;", Daily!$G:$G, "=6")+SUMIFS(Daily!$Z:$Z, Daily!$AB:$AB, "*허준영*", Daily!$I:$I, "수리불가",Daily!$F:$F,"&lt;&gt;", Daily!$G:$G, "=6")</f>
        <v>0</v>
      </c>
      <c r="G10" s="87"/>
      <c r="H10" s="88"/>
      <c r="I10" s="87">
        <f>SUMIFS(Daily!$S:$S, Daily!$AB:$AB, "*허준영*", Daily!$I:$I, "Other", Daily!$F:$F,"&lt;&gt;", Daily!$G:$G, "=6")</f>
        <v>0</v>
      </c>
      <c r="J10" s="87">
        <f>SUMIFS(Daily!$Z:$Z, Daily!$AB:$AB, "*허준영*", Daily!$I:$I, "Other",Daily!$F:$F,"&lt;&gt;", Daily!$G:$G, "=6")</f>
        <v>0</v>
      </c>
      <c r="K10" s="87">
        <f t="shared" si="0"/>
        <v>0</v>
      </c>
      <c r="L10" s="88">
        <f t="shared" si="0"/>
        <v>0</v>
      </c>
    </row>
    <row r="11" spans="2:12" ht="21" customHeight="1">
      <c r="B11" s="86" t="s">
        <v>46</v>
      </c>
      <c r="C11" s="87"/>
      <c r="D11" s="88"/>
      <c r="E11" s="87">
        <f>SUMIFS(Daily!$S:$S, Daily!$AB:$AB, "*허준영*", Daily!$I:$I, "수리완료",Daily!$F:$F,"&lt;&gt;", Daily!$G:$G, "=7")+SUMIFS(Daily!$S:$S, Daily!$AB:$AB, "*허준영*", Daily!$I:$I, "외주수리완료",Daily!$F:$F,"&lt;&gt;", Daily!$G:$G, "=7")</f>
        <v>0</v>
      </c>
      <c r="F11" s="87">
        <f>SUMIFS(Daily!$Z:$Z, Daily!$AB:$AB, "*허준영*", Daily!$I:$I, "*수리완료",Daily!$F:$F,"&lt;&gt;", Daily!$G:$G, "=7")+SUMIFS(Daily!$Z:$Z, Daily!$AB:$AB, "*허준영*", Daily!$I:$I, "폐기",Daily!$F:$F,"&lt;&gt;", Daily!$G:$G, "=7")+SUMIFS(Daily!$Z:$Z, Daily!$AB:$AB, "*허준영*", Daily!$I:$I, "수리불가",Daily!$F:$F,"&lt;&gt;", Daily!$G:$G, "=7")</f>
        <v>0</v>
      </c>
      <c r="G11" s="87"/>
      <c r="H11" s="88"/>
      <c r="I11" s="87">
        <f>SUMIFS(Daily!$S:$S, Daily!$AB:$AB, "*허준영*", Daily!$I:$I, "Other", Daily!$F:$F,"&lt;&gt;", Daily!$G:$G, "=7")</f>
        <v>0</v>
      </c>
      <c r="J11" s="87">
        <f>SUMIFS(Daily!$Z:$Z, Daily!$AB:$AB, "*허준영*", Daily!$I:$I, "Other",Daily!$F:$F,"&lt;&gt;", Daily!$G:$G, "=7")</f>
        <v>0</v>
      </c>
      <c r="K11" s="87">
        <f t="shared" si="0"/>
        <v>0</v>
      </c>
      <c r="L11" s="88">
        <f t="shared" si="0"/>
        <v>0</v>
      </c>
    </row>
    <row r="12" spans="2:12" ht="21" customHeight="1">
      <c r="B12" s="86" t="s">
        <v>48</v>
      </c>
      <c r="C12" s="87"/>
      <c r="D12" s="88"/>
      <c r="E12" s="87">
        <f>SUMIFS(Daily!$S:$S, Daily!$AB:$AB, "*허준영*", Daily!$I:$I, "수리완료",Daily!$F:$F,"&lt;&gt;", Daily!$G:$G, "=8")+SUMIFS(Daily!$S:$S, Daily!$AB:$AB, "*허준영*", Daily!$I:$I, "외주수리완료",Daily!$F:$F,"&lt;&gt;", Daily!$G:$G, "=8")</f>
        <v>0</v>
      </c>
      <c r="F12" s="87">
        <f>SUMIFS(Daily!$Z:$Z, Daily!$AB:$AB, "*허준영*", Daily!$I:$I, "*수리완료",Daily!$F:$F,"&lt;&gt;", Daily!$G:$G, "=8")+SUMIFS(Daily!$Z:$Z, Daily!$AB:$AB, "*허준영*", Daily!$I:$I, "폐기",Daily!$F:$F,"&lt;&gt;", Daily!$G:$G, "=8")+SUMIFS(Daily!$Z:$Z, Daily!$AB:$AB, "*허준영*", Daily!$I:$I, "수리불가",Daily!$F:$F,"&lt;&gt;", Daily!$G:$G, "=8")</f>
        <v>0</v>
      </c>
      <c r="G12" s="87"/>
      <c r="H12" s="88"/>
      <c r="I12" s="87">
        <f>SUMIFS(Daily!$S:$S, Daily!$AB:$AB, "*허준영*", Daily!$I:$I, "Other", Daily!$F:$F,"&lt;&gt;", Daily!$G:$G, "=8")</f>
        <v>0</v>
      </c>
      <c r="J12" s="87">
        <f>SUMIFS(Daily!$Z:$Z, Daily!$AB:$AB, "*허준영*", Daily!$I:$I, "Other",Daily!$F:$F,"&lt;&gt;", Daily!$G:$G, "=8")</f>
        <v>0</v>
      </c>
      <c r="K12" s="87">
        <f t="shared" si="0"/>
        <v>0</v>
      </c>
      <c r="L12" s="88">
        <f t="shared" si="0"/>
        <v>0</v>
      </c>
    </row>
    <row r="13" spans="2:12" ht="21" customHeight="1">
      <c r="B13" s="86" t="s">
        <v>19</v>
      </c>
      <c r="C13" s="87"/>
      <c r="D13" s="88"/>
      <c r="E13" s="87">
        <f>SUMIFS(Daily!$S:$S, Daily!$AB:$AB, "*허준영*", Daily!$I:$I, "수리완료",Daily!$F:$F,"&lt;&gt;", Daily!$G:$G, "=9")+SUMIFS(Daily!$S:$S, Daily!$AB:$AB, "*허준영*", Daily!$I:$I, "외주수리완료",Daily!$F:$F,"&lt;&gt;", Daily!$G:$G, "=9")</f>
        <v>0</v>
      </c>
      <c r="F13" s="87">
        <f>SUMIFS(Daily!$Z:$Z, Daily!$AB:$AB, "*허준영*", Daily!$I:$I, "*수리완료",Daily!$F:$F,"&lt;&gt;", Daily!$G:$G, "=9")+SUMIFS(Daily!$Z:$Z, Daily!$AB:$AB, "*허준영*", Daily!$I:$I, "폐기",Daily!$F:$F,"&lt;&gt;", Daily!$G:$G, "=9")+SUMIFS(Daily!$Z:$Z, Daily!$AB:$AB, "*허준영*", Daily!$I:$I, "수리불가",Daily!$F:$F,"&lt;&gt;", Daily!$G:$G, "=9")</f>
        <v>0</v>
      </c>
      <c r="G13" s="87"/>
      <c r="H13" s="88"/>
      <c r="I13" s="87">
        <f>SUMIFS(Daily!$S:$S, Daily!$AB:$AB, "*허준영*", Daily!$I:$I, "Other", Daily!$F:$F,"&lt;&gt;", Daily!$G:$G, "=9")</f>
        <v>0</v>
      </c>
      <c r="J13" s="87">
        <f>SUMIFS(Daily!$Z:$Z, Daily!$AB:$AB, "*허준영*", Daily!$I:$I, "Other",Daily!$F:$F,"&lt;&gt;", Daily!$G:$G, "=9")</f>
        <v>0</v>
      </c>
      <c r="K13" s="87">
        <f t="shared" si="0"/>
        <v>0</v>
      </c>
      <c r="L13" s="88">
        <f t="shared" si="0"/>
        <v>0</v>
      </c>
    </row>
    <row r="14" spans="2:12" ht="21" customHeight="1">
      <c r="B14" s="86" t="s">
        <v>96</v>
      </c>
      <c r="C14" s="87"/>
      <c r="D14" s="88"/>
      <c r="E14" s="87">
        <f>SUMIFS(Daily!$S:$S, Daily!$AB:$AB, "*허준영*", Daily!$I:$I, "수리완료",Daily!$F:$F,"&lt;&gt;", Daily!$G:$G, "=10")+SUMIFS(Daily!$S:$S, Daily!$AB:$AB, "*허준영*", Daily!$I:$I, "외주수리완료",Daily!$F:$F,"&lt;&gt;", Daily!$G:$G, "=10")</f>
        <v>0</v>
      </c>
      <c r="F14" s="87">
        <f>SUMIFS(Daily!$Z:$Z, Daily!$AB:$AB, "*허준영*", Daily!$I:$I, "*수리완료",Daily!$F:$F,"&lt;&gt;", Daily!$G:$G, "=10")+SUMIFS(Daily!$Z:$Z, Daily!$AB:$AB, "*허준영*", Daily!$I:$I, "폐기",Daily!$F:$F,"&lt;&gt;", Daily!$G:$G, "=10")+SUMIFS(Daily!$Z:$Z, Daily!$AB:$AB, "*허준영*", Daily!$I:$I, "수리불가",Daily!$F:$F,"&lt;&gt;", Daily!$G:$G, "=10")</f>
        <v>0</v>
      </c>
      <c r="G14" s="87"/>
      <c r="H14" s="88"/>
      <c r="I14" s="87">
        <f>SUMIFS(Daily!$S:$S, Daily!$AB:$AB, "*허준영*", Daily!$I:$I, "Other", Daily!$F:$F,"&lt;&gt;", Daily!$G:$G, "=10")</f>
        <v>0</v>
      </c>
      <c r="J14" s="87">
        <f>SUMIFS(Daily!$Z:$Z, Daily!$AB:$AB, "*허준영*", Daily!$I:$I, "Other",Daily!$F:$F,"&lt;&gt;", Daily!$G:$G, "=10")</f>
        <v>0</v>
      </c>
      <c r="K14" s="87">
        <f t="shared" si="0"/>
        <v>0</v>
      </c>
      <c r="L14" s="88">
        <f t="shared" si="0"/>
        <v>0</v>
      </c>
    </row>
    <row r="15" spans="2:12" ht="21" customHeight="1">
      <c r="B15" s="86" t="s">
        <v>24</v>
      </c>
      <c r="C15" s="87"/>
      <c r="D15" s="88"/>
      <c r="E15" s="87">
        <f>SUMIFS(Daily!$S:$S, Daily!$AB:$AB, "*허준영*", Daily!$I:$I, "수리완료",Daily!$F:$F,"&lt;&gt;", Daily!$G:$G, "=11")+SUMIFS(Daily!$S:$S, Daily!$AB:$AB, "*허준영*", Daily!$I:$I, "외주수리완료",Daily!$F:$F,"&lt;&gt;", Daily!$G:$G, "=11")</f>
        <v>0</v>
      </c>
      <c r="F15" s="87">
        <f>SUMIFS(Daily!$Z:$Z, Daily!$AB:$AB, "*허준영*", Daily!$I:$I, "*수리완료",Daily!$F:$F,"&lt;&gt;", Daily!$G:$G, "=11")+SUMIFS(Daily!$Z:$Z, Daily!$AB:$AB, "*허준영*", Daily!$I:$I, "폐기",Daily!$F:$F,"&lt;&gt;", Daily!$G:$G, "=11")+SUMIFS(Daily!$Z:$Z, Daily!$AB:$AB, "*허준영*", Daily!$I:$I, "수리불가",Daily!$F:$F,"&lt;&gt;", Daily!$G:$G, "=11")</f>
        <v>0</v>
      </c>
      <c r="G15" s="87"/>
      <c r="H15" s="88"/>
      <c r="I15" s="87">
        <f>SUMIFS(Daily!$S:$S, Daily!$AB:$AB, "*허준영*", Daily!$I:$I, "Other", Daily!$F:$F,"&lt;&gt;", Daily!$G:$G, "=11")</f>
        <v>0</v>
      </c>
      <c r="J15" s="87">
        <f>SUMIFS(Daily!$Z:$Z, Daily!$AB:$AB, "*허준영*", Daily!$I:$I, "Other",Daily!$F:$F,"&lt;&gt;", Daily!$G:$G, "=11")</f>
        <v>0</v>
      </c>
      <c r="K15" s="87">
        <f t="shared" si="0"/>
        <v>0</v>
      </c>
      <c r="L15" s="88">
        <f t="shared" si="0"/>
        <v>0</v>
      </c>
    </row>
    <row r="16" spans="2:12" ht="21" customHeight="1">
      <c r="B16" s="86" t="s">
        <v>25</v>
      </c>
      <c r="C16" s="87"/>
      <c r="D16" s="88"/>
      <c r="E16" s="87">
        <f>SUMIFS(Daily!$S:$S, Daily!$AB:$AB, "*허준영*", Daily!$I:$I, "수리완료",Daily!$F:$F,"&lt;&gt;", Daily!$G:$G, "=12")+SUMIFS(Daily!$S:$S, Daily!$AB:$AB, "*허준영*", Daily!$I:$I, "외주수리완료",Daily!$F:$F,"&lt;&gt;", Daily!$G:$G, "=12")</f>
        <v>0</v>
      </c>
      <c r="F16" s="87">
        <f>SUMIFS(Daily!$Z:$Z, Daily!$AB:$AB, "*허준영*", Daily!$I:$I, "*수리완료",Daily!$F:$F,"&lt;&gt;", Daily!$G:$G, "=12")+SUMIFS(Daily!$Z:$Z, Daily!$AB:$AB, "*허준영*", Daily!$I:$I, "폐기",Daily!$F:$F,"&lt;&gt;", Daily!$G:$G, "=12")+SUMIFS(Daily!$Z:$Z, Daily!$AB:$AB, "*허준영*", Daily!$I:$I, "수리불가",Daily!$F:$F,"&lt;&gt;", Daily!$G:$G, "=12")</f>
        <v>0</v>
      </c>
      <c r="G16" s="87"/>
      <c r="H16" s="88"/>
      <c r="I16" s="87">
        <f>SUMIFS(Daily!$S:$S, Daily!$AB:$AB, "*허준영*", Daily!$I:$I, "Other", Daily!$F:$F,"&lt;&gt;", Daily!$G:$G, "=12")</f>
        <v>0</v>
      </c>
      <c r="J16" s="87">
        <f>SUMIFS(Daily!$Z:$Z, Daily!$AB:$AB, "*허준영*", Daily!$I:$I, "Other",Daily!$F:$F,"&lt;&gt;", Daily!$G:$G, "=12")</f>
        <v>0</v>
      </c>
      <c r="K16" s="87">
        <f t="shared" si="0"/>
        <v>0</v>
      </c>
      <c r="L16" s="88">
        <f t="shared" si="0"/>
        <v>0</v>
      </c>
    </row>
    <row r="17" spans="2:12" ht="21" customHeight="1">
      <c r="B17" s="85" t="s">
        <v>93</v>
      </c>
      <c r="C17" s="89">
        <f t="shared" ref="C17:L17" si="1">SUM(C5:C16)</f>
        <v>0</v>
      </c>
      <c r="D17" s="85">
        <f t="shared" si="1"/>
        <v>0</v>
      </c>
      <c r="E17" s="89">
        <f t="shared" si="1"/>
        <v>60</v>
      </c>
      <c r="F17" s="90">
        <f t="shared" si="1"/>
        <v>198</v>
      </c>
      <c r="G17" s="89">
        <f t="shared" si="1"/>
        <v>0</v>
      </c>
      <c r="H17" s="90">
        <f t="shared" si="1"/>
        <v>0</v>
      </c>
      <c r="I17" s="89">
        <f t="shared" si="1"/>
        <v>8</v>
      </c>
      <c r="J17" s="90">
        <f t="shared" si="1"/>
        <v>17</v>
      </c>
      <c r="K17" s="89">
        <f t="shared" si="1"/>
        <v>68</v>
      </c>
      <c r="L17" s="90">
        <f t="shared" si="1"/>
        <v>215</v>
      </c>
    </row>
  </sheetData>
  <mergeCells count="7">
    <mergeCell ref="B2:B4"/>
    <mergeCell ref="C2:J2"/>
    <mergeCell ref="K2:L3"/>
    <mergeCell ref="C3:D3"/>
    <mergeCell ref="E3:F3"/>
    <mergeCell ref="G3:H3"/>
    <mergeCell ref="I3:J3"/>
  </mergeCells>
  <phoneticPr fontId="3" type="noConversion"/>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B1:L17"/>
  <sheetViews>
    <sheetView showGridLines="0" workbookViewId="0">
      <selection activeCell="F6" sqref="F6"/>
    </sheetView>
  </sheetViews>
  <sheetFormatPr defaultRowHeight="16.5"/>
  <cols>
    <col min="1" max="1" width="2.75" customWidth="1"/>
    <col min="2" max="2" width="11.875" style="20" customWidth="1"/>
    <col min="3" max="6" width="12.375" style="20" customWidth="1"/>
    <col min="7" max="12" width="12.375" customWidth="1"/>
  </cols>
  <sheetData>
    <row r="1" spans="2:12" ht="26.25">
      <c r="B1" s="83" t="s">
        <v>90</v>
      </c>
      <c r="C1" s="84"/>
      <c r="D1" s="84"/>
      <c r="E1" s="84"/>
      <c r="F1" s="84"/>
      <c r="G1" s="35"/>
      <c r="H1" s="35"/>
      <c r="I1" s="35"/>
      <c r="J1" s="35"/>
      <c r="K1" s="35"/>
      <c r="L1" s="35"/>
    </row>
    <row r="2" spans="2:12" ht="21" customHeight="1">
      <c r="B2" s="231" t="s">
        <v>91</v>
      </c>
      <c r="C2" s="234" t="s">
        <v>92</v>
      </c>
      <c r="D2" s="235"/>
      <c r="E2" s="235"/>
      <c r="F2" s="235"/>
      <c r="G2" s="235"/>
      <c r="H2" s="235"/>
      <c r="I2" s="235"/>
      <c r="J2" s="236"/>
      <c r="K2" s="237" t="s">
        <v>93</v>
      </c>
      <c r="L2" s="238"/>
    </row>
    <row r="3" spans="2:12" ht="21" customHeight="1">
      <c r="B3" s="232"/>
      <c r="C3" s="234" t="s">
        <v>94</v>
      </c>
      <c r="D3" s="236"/>
      <c r="E3" s="234" t="s">
        <v>89</v>
      </c>
      <c r="F3" s="236"/>
      <c r="G3" s="234" t="s">
        <v>95</v>
      </c>
      <c r="H3" s="236"/>
      <c r="I3" s="234" t="s">
        <v>30</v>
      </c>
      <c r="J3" s="236"/>
      <c r="K3" s="239"/>
      <c r="L3" s="240"/>
    </row>
    <row r="4" spans="2:12" ht="21" customHeight="1">
      <c r="B4" s="233"/>
      <c r="C4" s="85" t="s">
        <v>85</v>
      </c>
      <c r="D4" s="85" t="s">
        <v>86</v>
      </c>
      <c r="E4" s="85" t="s">
        <v>85</v>
      </c>
      <c r="F4" s="85" t="s">
        <v>86</v>
      </c>
      <c r="G4" s="85" t="s">
        <v>85</v>
      </c>
      <c r="H4" s="85" t="s">
        <v>86</v>
      </c>
      <c r="I4" s="85" t="s">
        <v>85</v>
      </c>
      <c r="J4" s="85" t="s">
        <v>86</v>
      </c>
      <c r="K4" s="85" t="s">
        <v>85</v>
      </c>
      <c r="L4" s="85" t="s">
        <v>86</v>
      </c>
    </row>
    <row r="5" spans="2:12" ht="21" customHeight="1">
      <c r="B5" s="86" t="s">
        <v>20</v>
      </c>
      <c r="C5" s="87"/>
      <c r="D5" s="88"/>
      <c r="E5" s="87">
        <f>SUMIFS(Daily!$S:$S, Daily!$AB:$AB, "*박병대*", Daily!$I:$I, "수리완료",Daily!$F:$F,"&lt;&gt;", Daily!$G:$G, "=1")+SUMIFS(Daily!$S:$S, Daily!$AB:$AB, "*박병대*", Daily!$I:$I, "외주수리완료",Daily!$F:$F,"&lt;&gt;", Daily!$G:$G, "=1")</f>
        <v>0</v>
      </c>
      <c r="F5" s="87">
        <f>SUMIFS(Daily!$Z:$Z, Daily!$AB:$AB, "*박병대*", Daily!$I:$I, "*수리완료",Daily!$F:$F,"&lt;&gt;", Daily!$G:$G, "=1")+SUMIFS(Daily!$Z:$Z, Daily!$AB:$AB, "*박병대*", Daily!$I:$I, "폐기",Daily!$F:$F,"&lt;&gt;", Daily!$G:$G, "=1")+SUMIFS(Daily!$Z:$Z, Daily!$AB:$AB, "*박병대*", Daily!$I:$I, "수리불가",Daily!$F:$F,"&lt;&gt;", Daily!$G:$G, "=1")</f>
        <v>0</v>
      </c>
      <c r="G5" s="87"/>
      <c r="H5" s="88"/>
      <c r="I5" s="87">
        <f>SUMIFS(Daily!$S:$S, Daily!$AB:$AB, "*박병대*", Daily!$I:$I, "Other", Daily!$F:$F,"&lt;&gt;", Daily!$G:$G, "=1")</f>
        <v>0</v>
      </c>
      <c r="J5" s="87">
        <f>SUMIFS(Daily!$Z:$Z, Daily!$AB:$AB, "*박병대*", Daily!$I:$I, "Other",Daily!$F:$F,"&lt;&gt;", Daily!$G:$G, "=1")</f>
        <v>0</v>
      </c>
      <c r="K5" s="87">
        <f>C5+E5+G5+I5</f>
        <v>0</v>
      </c>
      <c r="L5" s="88">
        <f>D5+F5+H5+J5</f>
        <v>0</v>
      </c>
    </row>
    <row r="6" spans="2:12" ht="21" customHeight="1">
      <c r="B6" s="86" t="s">
        <v>35</v>
      </c>
      <c r="C6" s="87"/>
      <c r="D6" s="88"/>
      <c r="E6" s="87">
        <f>SUMIFS(Daily!$S:$S, Daily!$AB:$AB, "*박병대*", Daily!$I:$I, "수리완료",Daily!$F:$F,"&lt;&gt;", Daily!$G:$G, "=2")+SUMIFS(Daily!$S:$S, Daily!$AB:$AB, "*박병대*", Daily!$I:$I, "외주수리완료",Daily!$F:$F,"&lt;&gt;", Daily!$G:$G, "=2")</f>
        <v>0</v>
      </c>
      <c r="F6" s="87">
        <f>SUMIFS(Daily!$Z:$Z, Daily!$AB:$AB, "*박병대*", Daily!$I:$I, "*수리완료",Daily!$F:$F,"&lt;&gt;", Daily!$G:$G, "=2")+SUMIFS(Daily!$Z:$Z, Daily!$AB:$AB, "*박병대*", Daily!$I:$I, "폐기",Daily!$F:$F,"&lt;&gt;", Daily!$G:$G, "=2")+SUMIFS(Daily!$Z:$Z, Daily!$AB:$AB, "*박병대*", Daily!$I:$I, "수리불가",Daily!$F:$F,"&lt;&gt;", Daily!$G:$G, "=2")</f>
        <v>0</v>
      </c>
      <c r="G6" s="87"/>
      <c r="H6" s="88"/>
      <c r="I6" s="87">
        <f>SUMIFS(Daily!$S:$S, Daily!$AB:$AB, "*박병대*", Daily!$I:$I, "Other", Daily!$F:$F,"&lt;&gt;", Daily!$G:$G, "=2")</f>
        <v>0</v>
      </c>
      <c r="J6" s="87">
        <f>SUMIFS(Daily!$Z:$Z, Daily!$AB:$AB, "*박병대*", Daily!$I:$I, "Other",Daily!$F:$F,"&lt;&gt;", Daily!$G:$G, "=2")</f>
        <v>0</v>
      </c>
      <c r="K6" s="87">
        <f t="shared" ref="K6:L16" si="0">C6+E6+G6+I6</f>
        <v>0</v>
      </c>
      <c r="L6" s="88">
        <f t="shared" si="0"/>
        <v>0</v>
      </c>
    </row>
    <row r="7" spans="2:12" ht="21" customHeight="1">
      <c r="B7" s="86" t="s">
        <v>18</v>
      </c>
      <c r="C7" s="87"/>
      <c r="D7" s="88"/>
      <c r="E7" s="87">
        <f>SUMIFS(Daily!$S:$S, Daily!$AB:$AB, "*박병대*", Daily!$I:$I, "수리완료",Daily!$F:$F,"&lt;&gt;", Daily!$G:$G, "=3")+SUMIFS(Daily!$S:$S, Daily!$AB:$AB, "*박병대*", Daily!$I:$I, "외주수리완료",Daily!$F:$F,"&lt;&gt;", Daily!$G:$G, "=3")</f>
        <v>0</v>
      </c>
      <c r="F7" s="87">
        <f>SUMIFS(Daily!$Z:$Z, Daily!$AB:$AB, "*박병대*", Daily!$I:$I, "*수리완료",Daily!$F:$F,"&lt;&gt;", Daily!$G:$G, "=3")+SUMIFS(Daily!$Z:$Z, Daily!$AB:$AB, "*박병대*", Daily!$I:$I, "폐기",Daily!$F:$F,"&lt;&gt;", Daily!$G:$G, "=3")+SUMIFS(Daily!$Z:$Z, Daily!$AB:$AB, "*박병대*", Daily!$I:$I, "수리불가",Daily!$F:$F,"&lt;&gt;", Daily!$G:$G, "=3")</f>
        <v>0</v>
      </c>
      <c r="G7" s="87"/>
      <c r="H7" s="88"/>
      <c r="I7" s="87">
        <f>SUMIFS(Daily!$S:$S, Daily!$AB:$AB, "*박병대*", Daily!$I:$I, "Other", Daily!$F:$F,"&lt;&gt;", Daily!$G:$G, "=3")</f>
        <v>0</v>
      </c>
      <c r="J7" s="87">
        <f>SUMIFS(Daily!$Z:$Z, Daily!$AB:$AB, "*박병대*", Daily!$I:$I, "Other",Daily!$F:$F,"&lt;&gt;", Daily!$G:$G, "=3")</f>
        <v>0</v>
      </c>
      <c r="K7" s="87">
        <f t="shared" si="0"/>
        <v>0</v>
      </c>
      <c r="L7" s="88">
        <f t="shared" si="0"/>
        <v>0</v>
      </c>
    </row>
    <row r="8" spans="2:12" ht="21" customHeight="1">
      <c r="B8" s="86" t="s">
        <v>36</v>
      </c>
      <c r="C8" s="87"/>
      <c r="D8" s="88"/>
      <c r="E8" s="87">
        <f>SUMIFS(Daily!$S:$S, Daily!$AB:$AB, "*박병대*", Daily!$I:$I, "수리완료",Daily!$F:$F,"&lt;&gt;", Daily!$G:$G, "=4")+SUMIFS(Daily!$S:$S, Daily!$AB:$AB, "*박병대*", Daily!$I:$I, "외주수리완료",Daily!$F:$F,"&lt;&gt;", Daily!$G:$G, "=4")</f>
        <v>0</v>
      </c>
      <c r="F8" s="87">
        <f>SUMIFS(Daily!$Z:$Z, Daily!$AB:$AB, "*박병대*", Daily!$I:$I, "*수리완료",Daily!$F:$F,"&lt;&gt;", Daily!$G:$G, "=4")+SUMIFS(Daily!$Z:$Z, Daily!$AB:$AB, "*박병대*", Daily!$I:$I, "폐기",Daily!$F:$F,"&lt;&gt;", Daily!$G:$G, "=4")+SUMIFS(Daily!$Z:$Z, Daily!$AB:$AB, "*박병대*", Daily!$I:$I, "수리불가",Daily!$F:$F,"&lt;&gt;", Daily!$G:$G, "=4")</f>
        <v>0</v>
      </c>
      <c r="G8" s="87"/>
      <c r="H8" s="88"/>
      <c r="I8" s="87">
        <f>SUMIFS(Daily!$S:$S, Daily!$AB:$AB, "*박병대*", Daily!$I:$I, "Other", Daily!$F:$F,"&lt;&gt;", Daily!$G:$G, "=4")</f>
        <v>0</v>
      </c>
      <c r="J8" s="87">
        <f>SUMIFS(Daily!$Z:$Z, Daily!$AB:$AB, "*박병대*", Daily!$I:$I, "Other",Daily!$F:$F,"&lt;&gt;", Daily!$G:$G, "=4")</f>
        <v>0</v>
      </c>
      <c r="K8" s="87">
        <f t="shared" si="0"/>
        <v>0</v>
      </c>
      <c r="L8" s="88">
        <f t="shared" si="0"/>
        <v>0</v>
      </c>
    </row>
    <row r="9" spans="2:12" ht="21" customHeight="1">
      <c r="B9" s="86" t="s">
        <v>44</v>
      </c>
      <c r="C9" s="87"/>
      <c r="D9" s="88"/>
      <c r="E9" s="87">
        <f>SUMIFS(Daily!$S:$S, Daily!$AB:$AB, "*박병대*", Daily!$I:$I, "수리완료",Daily!$F:$F,"&lt;&gt;", Daily!$G:$G, "=5")+SUMIFS(Daily!$S:$S, Daily!$AB:$AB, "*박병대*", Daily!$I:$I, "외주수리완료",Daily!$F:$F,"&lt;&gt;", Daily!$G:$G, "=5")</f>
        <v>0</v>
      </c>
      <c r="F9" s="87">
        <f>SUMIFS(Daily!$Z:$Z, Daily!$AB:$AB, "*박병대*", Daily!$I:$I, "*수리완료",Daily!$F:$F,"&lt;&gt;", Daily!$G:$G, "=5")+SUMIFS(Daily!$Z:$Z, Daily!$AB:$AB, "*박병대*", Daily!$I:$I, "폐기",Daily!$F:$F,"&lt;&gt;", Daily!$G:$G, "=5")+SUMIFS(Daily!$Z:$Z, Daily!$AB:$AB, "*박병대*", Daily!$I:$I, "수리불가",Daily!$F:$F,"&lt;&gt;", Daily!$G:$G, "=5")</f>
        <v>0</v>
      </c>
      <c r="G9" s="87"/>
      <c r="H9" s="88"/>
      <c r="I9" s="87">
        <f>SUMIFS(Daily!$S:$S, Daily!$AB:$AB, "*박병대*", Daily!$I:$I, "Other", Daily!$F:$F,"&lt;&gt;", Daily!$G:$G, "=5")</f>
        <v>0</v>
      </c>
      <c r="J9" s="87">
        <f>SUMIFS(Daily!$Z:$Z, Daily!$AB:$AB, "*박병대*", Daily!$I:$I, "Other",Daily!$F:$F,"&lt;&gt;", Daily!$G:$G, "=5")</f>
        <v>0</v>
      </c>
      <c r="K9" s="87">
        <f t="shared" si="0"/>
        <v>0</v>
      </c>
      <c r="L9" s="88">
        <f t="shared" si="0"/>
        <v>0</v>
      </c>
    </row>
    <row r="10" spans="2:12" ht="21" customHeight="1">
      <c r="B10" s="86" t="s">
        <v>43</v>
      </c>
      <c r="C10" s="87"/>
      <c r="D10" s="88"/>
      <c r="E10" s="87">
        <f>SUMIFS(Daily!$S:$S, Daily!$AB:$AB, "*박병대*", Daily!$I:$I, "수리완료",Daily!$F:$F,"&lt;&gt;", Daily!$G:$G, "=6")+SUMIFS(Daily!$S:$S, Daily!$AB:$AB, "*박병대*", Daily!$I:$I, "외주수리완료",Daily!$F:$F,"&lt;&gt;", Daily!$G:$G, "=6")</f>
        <v>0</v>
      </c>
      <c r="F10" s="87">
        <f>SUMIFS(Daily!$Z:$Z, Daily!$AB:$AB, "*박병대*", Daily!$I:$I, "*수리완료",Daily!$F:$F,"&lt;&gt;", Daily!$G:$G, "=6")+SUMIFS(Daily!$Z:$Z, Daily!$AB:$AB, "*박병대*", Daily!$I:$I, "폐기",Daily!$F:$F,"&lt;&gt;", Daily!$G:$G, "=6")+SUMIFS(Daily!$Z:$Z, Daily!$AB:$AB, "*박병대*", Daily!$I:$I, "수리불가",Daily!$F:$F,"&lt;&gt;", Daily!$G:$G, "=6")</f>
        <v>0</v>
      </c>
      <c r="G10" s="87"/>
      <c r="H10" s="88"/>
      <c r="I10" s="87">
        <f>SUMIFS(Daily!$S:$S, Daily!$AB:$AB, "*박병대*", Daily!$I:$I, "Other", Daily!$F:$F,"&lt;&gt;", Daily!$G:$G, "=6")</f>
        <v>0</v>
      </c>
      <c r="J10" s="87">
        <f>SUMIFS(Daily!$Z:$Z, Daily!$AB:$AB, "*박병대*", Daily!$I:$I, "Other",Daily!$F:$F,"&lt;&gt;", Daily!$G:$G, "=6")</f>
        <v>0</v>
      </c>
      <c r="K10" s="87">
        <f t="shared" si="0"/>
        <v>0</v>
      </c>
      <c r="L10" s="88">
        <f t="shared" si="0"/>
        <v>0</v>
      </c>
    </row>
    <row r="11" spans="2:12" ht="21" customHeight="1">
      <c r="B11" s="86" t="s">
        <v>46</v>
      </c>
      <c r="C11" s="87"/>
      <c r="D11" s="88"/>
      <c r="E11" s="87">
        <f>SUMIFS(Daily!$S:$S, Daily!$AB:$AB, "*박병대*", Daily!$I:$I, "수리완료",Daily!$F:$F,"&lt;&gt;", Daily!$G:$G, "=7")+SUMIFS(Daily!$S:$S, Daily!$AB:$AB, "*박병대*", Daily!$I:$I, "외주수리완료",Daily!$F:$F,"&lt;&gt;", Daily!$G:$G, "=7")</f>
        <v>0</v>
      </c>
      <c r="F11" s="87">
        <f>SUMIFS(Daily!$Z:$Z, Daily!$AB:$AB, "*박병대*", Daily!$I:$I, "*수리완료",Daily!$F:$F,"&lt;&gt;", Daily!$G:$G, "=7")+SUMIFS(Daily!$Z:$Z, Daily!$AB:$AB, "*박병대*", Daily!$I:$I, "폐기",Daily!$F:$F,"&lt;&gt;", Daily!$G:$G, "=7")+SUMIFS(Daily!$Z:$Z, Daily!$AB:$AB, "*박병대*", Daily!$I:$I, "수리불가",Daily!$F:$F,"&lt;&gt;", Daily!$G:$G, "=7")</f>
        <v>0</v>
      </c>
      <c r="G11" s="87"/>
      <c r="H11" s="88"/>
      <c r="I11" s="87">
        <f>SUMIFS(Daily!$S:$S, Daily!$AB:$AB, "*박병대*", Daily!$I:$I, "Other", Daily!$F:$F,"&lt;&gt;", Daily!$G:$G, "=7")</f>
        <v>0</v>
      </c>
      <c r="J11" s="87">
        <f>SUMIFS(Daily!$Z:$Z, Daily!$AB:$AB, "*박병대*", Daily!$I:$I, "Other",Daily!$F:$F,"&lt;&gt;", Daily!$G:$G, "=7")</f>
        <v>0</v>
      </c>
      <c r="K11" s="87">
        <f t="shared" si="0"/>
        <v>0</v>
      </c>
      <c r="L11" s="88">
        <f t="shared" si="0"/>
        <v>0</v>
      </c>
    </row>
    <row r="12" spans="2:12" ht="21" customHeight="1">
      <c r="B12" s="86" t="s">
        <v>48</v>
      </c>
      <c r="C12" s="87"/>
      <c r="D12" s="88"/>
      <c r="E12" s="87">
        <f>SUMIFS(Daily!$S:$S, Daily!$AB:$AB, "*박병대*", Daily!$I:$I, "수리완료",Daily!$F:$F,"&lt;&gt;", Daily!$G:$G, "=8")+SUMIFS(Daily!$S:$S, Daily!$AB:$AB, "*박병대*", Daily!$I:$I, "외주수리완료",Daily!$F:$F,"&lt;&gt;", Daily!$G:$G, "=8")</f>
        <v>0</v>
      </c>
      <c r="F12" s="87">
        <f>SUMIFS(Daily!$Z:$Z, Daily!$AB:$AB, "*박병대*", Daily!$I:$I, "*수리완료",Daily!$F:$F,"&lt;&gt;", Daily!$G:$G, "=8")+SUMIFS(Daily!$Z:$Z, Daily!$AB:$AB, "*박병대*", Daily!$I:$I, "폐기",Daily!$F:$F,"&lt;&gt;", Daily!$G:$G, "=8")+SUMIFS(Daily!$Z:$Z, Daily!$AB:$AB, "*박병대*", Daily!$I:$I, "수리불가",Daily!$F:$F,"&lt;&gt;", Daily!$G:$G, "=8")</f>
        <v>0</v>
      </c>
      <c r="G12" s="87"/>
      <c r="H12" s="88"/>
      <c r="I12" s="87">
        <f>SUMIFS(Daily!$S:$S, Daily!$AB:$AB, "*박병대*", Daily!$I:$I, "Other", Daily!$F:$F,"&lt;&gt;", Daily!$G:$G, "=8")</f>
        <v>0</v>
      </c>
      <c r="J12" s="87">
        <f>SUMIFS(Daily!$Z:$Z, Daily!$AB:$AB, "*박병대*", Daily!$I:$I, "Other",Daily!$F:$F,"&lt;&gt;", Daily!$G:$G, "=8")</f>
        <v>0</v>
      </c>
      <c r="K12" s="87">
        <f t="shared" si="0"/>
        <v>0</v>
      </c>
      <c r="L12" s="88">
        <f t="shared" si="0"/>
        <v>0</v>
      </c>
    </row>
    <row r="13" spans="2:12" ht="21" customHeight="1">
      <c r="B13" s="86" t="s">
        <v>19</v>
      </c>
      <c r="C13" s="87"/>
      <c r="D13" s="88"/>
      <c r="E13" s="87">
        <f>SUMIFS(Daily!$S:$S, Daily!$AB:$AB, "*박병대*", Daily!$I:$I, "수리완료",Daily!$F:$F,"&lt;&gt;", Daily!$G:$G, "=9")+SUMIFS(Daily!$S:$S, Daily!$AB:$AB, "*박병대*", Daily!$I:$I, "외주수리완료",Daily!$F:$F,"&lt;&gt;", Daily!$G:$G, "=9")</f>
        <v>0</v>
      </c>
      <c r="F13" s="87">
        <f>SUMIFS(Daily!$Z:$Z, Daily!$AB:$AB, "*박병대*", Daily!$I:$I, "*수리완료",Daily!$F:$F,"&lt;&gt;", Daily!$G:$G, "=9")+SUMIFS(Daily!$Z:$Z, Daily!$AB:$AB, "*박병대*", Daily!$I:$I, "폐기",Daily!$F:$F,"&lt;&gt;", Daily!$G:$G, "=9")+SUMIFS(Daily!$Z:$Z, Daily!$AB:$AB, "*박병대*", Daily!$I:$I, "수리불가",Daily!$F:$F,"&lt;&gt;", Daily!$G:$G, "=9")</f>
        <v>0</v>
      </c>
      <c r="G13" s="87"/>
      <c r="H13" s="88"/>
      <c r="I13" s="87">
        <f>SUMIFS(Daily!$S:$S, Daily!$AB:$AB, "*박병대*", Daily!$I:$I, "Other", Daily!$F:$F,"&lt;&gt;", Daily!$G:$G, "=9")</f>
        <v>0</v>
      </c>
      <c r="J13" s="87">
        <f>SUMIFS(Daily!$Z:$Z, Daily!$AB:$AB, "*박병대*", Daily!$I:$I, "Other",Daily!$F:$F,"&lt;&gt;", Daily!$G:$G, "=9")</f>
        <v>0</v>
      </c>
      <c r="K13" s="87">
        <f t="shared" si="0"/>
        <v>0</v>
      </c>
      <c r="L13" s="88">
        <f t="shared" si="0"/>
        <v>0</v>
      </c>
    </row>
    <row r="14" spans="2:12" ht="21" customHeight="1">
      <c r="B14" s="86" t="s">
        <v>96</v>
      </c>
      <c r="C14" s="87"/>
      <c r="D14" s="88"/>
      <c r="E14" s="87">
        <f>SUMIFS(Daily!$S:$S, Daily!$AB:$AB, "*박병대*", Daily!$I:$I, "수리완료",Daily!$F:$F,"&lt;&gt;", Daily!$G:$G, "=10")+SUMIFS(Daily!$S:$S, Daily!$AB:$AB, "*박병대*", Daily!$I:$I, "외주수리완료",Daily!$F:$F,"&lt;&gt;", Daily!$G:$G, "=10")</f>
        <v>0</v>
      </c>
      <c r="F14" s="87">
        <f>SUMIFS(Daily!$Z:$Z, Daily!$AB:$AB, "*박병대*", Daily!$I:$I, "*수리완료",Daily!$F:$F,"&lt;&gt;", Daily!$G:$G, "=10")+SUMIFS(Daily!$Z:$Z, Daily!$AB:$AB, "*박병대*", Daily!$I:$I, "폐기",Daily!$F:$F,"&lt;&gt;", Daily!$G:$G, "=10")+SUMIFS(Daily!$Z:$Z, Daily!$AB:$AB, "*박병대*", Daily!$I:$I, "수리불가",Daily!$F:$F,"&lt;&gt;", Daily!$G:$G, "=10")</f>
        <v>0</v>
      </c>
      <c r="G14" s="87"/>
      <c r="H14" s="88"/>
      <c r="I14" s="87">
        <f>SUMIFS(Daily!$S:$S, Daily!$AB:$AB, "*박병대*", Daily!$I:$I, "Other", Daily!$F:$F,"&lt;&gt;", Daily!$G:$G, "=10")</f>
        <v>0</v>
      </c>
      <c r="J14" s="87">
        <f>SUMIFS(Daily!$Z:$Z, Daily!$AB:$AB, "*박병대*", Daily!$I:$I, "Other",Daily!$F:$F,"&lt;&gt;", Daily!$G:$G, "=10")</f>
        <v>0</v>
      </c>
      <c r="K14" s="87">
        <f t="shared" si="0"/>
        <v>0</v>
      </c>
      <c r="L14" s="88">
        <f t="shared" si="0"/>
        <v>0</v>
      </c>
    </row>
    <row r="15" spans="2:12" ht="21" customHeight="1">
      <c r="B15" s="86" t="s">
        <v>24</v>
      </c>
      <c r="C15" s="87"/>
      <c r="D15" s="88"/>
      <c r="E15" s="87">
        <f>SUMIFS(Daily!$S:$S, Daily!$AB:$AB, "*박병대*", Daily!$I:$I, "수리완료",Daily!$F:$F,"&lt;&gt;", Daily!$G:$G, "=11")+SUMIFS(Daily!$S:$S, Daily!$AB:$AB, "*박병대*", Daily!$I:$I, "외주수리완료",Daily!$F:$F,"&lt;&gt;", Daily!$G:$G, "=11")</f>
        <v>0</v>
      </c>
      <c r="F15" s="87">
        <f>SUMIFS(Daily!$Z:$Z, Daily!$AB:$AB, "*박병대*", Daily!$I:$I, "*수리완료",Daily!$F:$F,"&lt;&gt;", Daily!$G:$G, "=11")+SUMIFS(Daily!$Z:$Z, Daily!$AB:$AB, "*박병대*", Daily!$I:$I, "폐기",Daily!$F:$F,"&lt;&gt;", Daily!$G:$G, "=11")+SUMIFS(Daily!$Z:$Z, Daily!$AB:$AB, "*박병대*", Daily!$I:$I, "수리불가",Daily!$F:$F,"&lt;&gt;", Daily!$G:$G, "=11")</f>
        <v>0</v>
      </c>
      <c r="G15" s="87"/>
      <c r="H15" s="88"/>
      <c r="I15" s="87">
        <f>SUMIFS(Daily!$S:$S, Daily!$AB:$AB, "*박병대*", Daily!$I:$I, "Other", Daily!$F:$F,"&lt;&gt;", Daily!$G:$G, "=11")</f>
        <v>0</v>
      </c>
      <c r="J15" s="87">
        <f>SUMIFS(Daily!$Z:$Z, Daily!$AB:$AB, "*박병대*", Daily!$I:$I, "Other",Daily!$F:$F,"&lt;&gt;", Daily!$G:$G, "=11")</f>
        <v>0</v>
      </c>
      <c r="K15" s="87">
        <f t="shared" si="0"/>
        <v>0</v>
      </c>
      <c r="L15" s="88">
        <f t="shared" si="0"/>
        <v>0</v>
      </c>
    </row>
    <row r="16" spans="2:12" ht="21" customHeight="1">
      <c r="B16" s="86" t="s">
        <v>25</v>
      </c>
      <c r="C16" s="87"/>
      <c r="D16" s="88"/>
      <c r="E16" s="87">
        <f>SUMIFS(Daily!$S:$S, Daily!$AB:$AB, "*박병대*", Daily!$I:$I, "수리완료",Daily!$F:$F,"&lt;&gt;", Daily!$G:$G, "=12")+SUMIFS(Daily!$S:$S, Daily!$AB:$AB, "*박병대*", Daily!$I:$I, "외주수리완료",Daily!$F:$F,"&lt;&gt;", Daily!$G:$G, "=12")</f>
        <v>0</v>
      </c>
      <c r="F16" s="87">
        <f>SUMIFS(Daily!$Z:$Z, Daily!$AB:$AB, "*박병대*", Daily!$I:$I, "*수리완료",Daily!$F:$F,"&lt;&gt;", Daily!$G:$G, "=12")+SUMIFS(Daily!$Z:$Z, Daily!$AB:$AB, "*박병대*", Daily!$I:$I, "폐기",Daily!$F:$F,"&lt;&gt;", Daily!$G:$G, "=12")+SUMIFS(Daily!$Z:$Z, Daily!$AB:$AB, "*박병대*", Daily!$I:$I, "수리불가",Daily!$F:$F,"&lt;&gt;", Daily!$G:$G, "=12")</f>
        <v>0</v>
      </c>
      <c r="G16" s="87"/>
      <c r="H16" s="88"/>
      <c r="I16" s="87">
        <f>SUMIFS(Daily!$S:$S, Daily!$AB:$AB, "*박병대*", Daily!$I:$I, "Other", Daily!$F:$F,"&lt;&gt;", Daily!$G:$G, "=12")</f>
        <v>0</v>
      </c>
      <c r="J16" s="87">
        <f>SUMIFS(Daily!$Z:$Z, Daily!$AB:$AB, "*박병대*", Daily!$I:$I, "Other",Daily!$F:$F,"&lt;&gt;", Daily!$G:$G, "=12")</f>
        <v>0</v>
      </c>
      <c r="K16" s="87">
        <f t="shared" si="0"/>
        <v>0</v>
      </c>
      <c r="L16" s="88">
        <f t="shared" si="0"/>
        <v>0</v>
      </c>
    </row>
    <row r="17" spans="2:12" ht="21" customHeight="1">
      <c r="B17" s="85" t="s">
        <v>93</v>
      </c>
      <c r="C17" s="89">
        <f t="shared" ref="C17:L17" si="1">SUM(C5:C16)</f>
        <v>0</v>
      </c>
      <c r="D17" s="85">
        <f t="shared" si="1"/>
        <v>0</v>
      </c>
      <c r="E17" s="89">
        <f t="shared" si="1"/>
        <v>0</v>
      </c>
      <c r="F17" s="90">
        <f t="shared" si="1"/>
        <v>0</v>
      </c>
      <c r="G17" s="89">
        <f t="shared" si="1"/>
        <v>0</v>
      </c>
      <c r="H17" s="90">
        <f t="shared" si="1"/>
        <v>0</v>
      </c>
      <c r="I17" s="89">
        <f t="shared" si="1"/>
        <v>0</v>
      </c>
      <c r="J17" s="90">
        <f t="shared" si="1"/>
        <v>0</v>
      </c>
      <c r="K17" s="89">
        <f t="shared" si="1"/>
        <v>0</v>
      </c>
      <c r="L17" s="90">
        <f t="shared" si="1"/>
        <v>0</v>
      </c>
    </row>
  </sheetData>
  <mergeCells count="7">
    <mergeCell ref="B2:B4"/>
    <mergeCell ref="C2:J2"/>
    <mergeCell ref="K2:L3"/>
    <mergeCell ref="C3:D3"/>
    <mergeCell ref="E3:F3"/>
    <mergeCell ref="G3:H3"/>
    <mergeCell ref="I3:J3"/>
  </mergeCells>
  <phoneticPr fontId="3" type="noConversion"/>
  <pageMargins left="0.7" right="0.7" top="0.75" bottom="0.75" header="0.3" footer="0.3"/>
  <pageSetup paperSize="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2"/>
  <dimension ref="B1:L17"/>
  <sheetViews>
    <sheetView showGridLines="0" workbookViewId="0">
      <selection activeCell="E3" sqref="E3:F3"/>
    </sheetView>
  </sheetViews>
  <sheetFormatPr defaultRowHeight="16.5"/>
  <cols>
    <col min="1" max="1" width="2.75" customWidth="1"/>
    <col min="2" max="2" width="11.875" style="20" customWidth="1"/>
    <col min="3" max="6" width="12.375" style="20" customWidth="1"/>
    <col min="7" max="12" width="12.375" customWidth="1"/>
  </cols>
  <sheetData>
    <row r="1" spans="2:12" ht="26.25">
      <c r="B1" s="83" t="s">
        <v>90</v>
      </c>
      <c r="C1" s="84"/>
      <c r="D1" s="84"/>
      <c r="E1" s="84"/>
      <c r="F1" s="84"/>
      <c r="G1" s="35"/>
      <c r="H1" s="35"/>
      <c r="I1" s="35"/>
      <c r="J1" s="35"/>
      <c r="K1" s="35"/>
      <c r="L1" s="35"/>
    </row>
    <row r="2" spans="2:12" ht="21" customHeight="1">
      <c r="B2" s="231" t="s">
        <v>91</v>
      </c>
      <c r="C2" s="234" t="s">
        <v>92</v>
      </c>
      <c r="D2" s="235"/>
      <c r="E2" s="235"/>
      <c r="F2" s="235"/>
      <c r="G2" s="235"/>
      <c r="H2" s="235"/>
      <c r="I2" s="235"/>
      <c r="J2" s="236"/>
      <c r="K2" s="237" t="s">
        <v>93</v>
      </c>
      <c r="L2" s="238"/>
    </row>
    <row r="3" spans="2:12" ht="21" customHeight="1">
      <c r="B3" s="232"/>
      <c r="C3" s="234" t="s">
        <v>94</v>
      </c>
      <c r="D3" s="236"/>
      <c r="E3" s="234" t="s">
        <v>89</v>
      </c>
      <c r="F3" s="236"/>
      <c r="G3" s="234" t="s">
        <v>95</v>
      </c>
      <c r="H3" s="236"/>
      <c r="I3" s="234" t="s">
        <v>30</v>
      </c>
      <c r="J3" s="236"/>
      <c r="K3" s="239"/>
      <c r="L3" s="240"/>
    </row>
    <row r="4" spans="2:12" ht="21" customHeight="1">
      <c r="B4" s="233"/>
      <c r="C4" s="85" t="s">
        <v>85</v>
      </c>
      <c r="D4" s="85" t="s">
        <v>86</v>
      </c>
      <c r="E4" s="85" t="s">
        <v>85</v>
      </c>
      <c r="F4" s="85" t="s">
        <v>86</v>
      </c>
      <c r="G4" s="85" t="s">
        <v>85</v>
      </c>
      <c r="H4" s="85" t="s">
        <v>86</v>
      </c>
      <c r="I4" s="85" t="s">
        <v>85</v>
      </c>
      <c r="J4" s="85" t="s">
        <v>86</v>
      </c>
      <c r="K4" s="85" t="s">
        <v>85</v>
      </c>
      <c r="L4" s="85" t="s">
        <v>86</v>
      </c>
    </row>
    <row r="5" spans="2:12" ht="21" customHeight="1">
      <c r="B5" s="86" t="s">
        <v>20</v>
      </c>
      <c r="C5" s="87"/>
      <c r="D5" s="88"/>
      <c r="E5" s="87">
        <f>SUMIFS(Daily!$S:$S, Daily!$AB:$AB, "*최준영*", Daily!$I:$I, "*수리완료",Daily!$F:$F,"&lt;&gt;", Daily!$G:$G, "=1")</f>
        <v>24</v>
      </c>
      <c r="F5" s="87">
        <f>SUMIFS(Daily!$Z:$Z, Daily!$AB:$AB, "*최준영*", Daily!$I:$I, "*수리완료",Daily!$F:$F,"&lt;&gt;", Daily!$G:$G, "=1")+SUMIFS(Daily!$Z:$Z, Daily!$AB:$AB, "*최준영*", Daily!$I:$I, "폐기",Daily!$F:$F,"&lt;&gt;", Daily!$G:$G, "=1")+SUMIFS(Daily!$Z:$Z, Daily!$AB:$AB, "*최준영*", Daily!$I:$I, "수리불가",Daily!$F:$F,"&lt;&gt;", Daily!$G:$G, "=1")</f>
        <v>77</v>
      </c>
      <c r="G5" s="87"/>
      <c r="H5" s="88"/>
      <c r="I5" s="87">
        <f>SUMIFS(Daily!$S:$S, Daily!$AB:$AB, "*최준영*", Daily!$I:$I, "Other", Daily!$F:$F,"&lt;&gt;", Daily!$G:$G, "=1")</f>
        <v>3</v>
      </c>
      <c r="J5" s="87">
        <f>SUMIFS(Daily!$Z:$Z, Daily!$AB:$AB, "*최준영*", Daily!$I:$I, "Other",Daily!$F:$F,"&lt;&gt;", Daily!$G:$G, "=1")</f>
        <v>32</v>
      </c>
      <c r="K5" s="87">
        <f>C5+E5+G5+I5</f>
        <v>27</v>
      </c>
      <c r="L5" s="88">
        <f>D5+F5+H5+J5</f>
        <v>109</v>
      </c>
    </row>
    <row r="6" spans="2:12" ht="21" customHeight="1">
      <c r="B6" s="86" t="s">
        <v>35</v>
      </c>
      <c r="C6" s="87"/>
      <c r="D6" s="88"/>
      <c r="E6" s="87">
        <f>SUMIFS(Daily!$S:$S, Daily!$AB:$AB, "*최준영*", Daily!$I:$I, "*수리완료",Daily!$F:$F,"&lt;&gt;", Daily!$G:$G, "=2")</f>
        <v>27</v>
      </c>
      <c r="F6" s="87">
        <f>SUMIFS(Daily!$Z:$Z, Daily!$AB:$AB, "*최준영*", Daily!$I:$I, "*수리완료",Daily!$F:$F,"&lt;&gt;", Daily!$G:$G, "=2")+SUMIFS(Daily!$Z:$Z, Daily!$AB:$AB, "*최준영*", Daily!$I:$I, "폐기",Daily!$F:$F,"&lt;&gt;", Daily!$G:$G, "=2")+SUMIFS(Daily!$Z:$Z, Daily!$AB:$AB, "*최준영*", Daily!$I:$I, "수리불가",Daily!$F:$F,"&lt;&gt;", Daily!$G:$G, "=2")</f>
        <v>117</v>
      </c>
      <c r="G6" s="87"/>
      <c r="H6" s="88"/>
      <c r="I6" s="87">
        <f>SUMIFS(Daily!$S:$S, Daily!$AB:$AB, "*최준영*", Daily!$I:$I, "Other", Daily!$F:$F,"&lt;&gt;", Daily!$G:$G, "=2")</f>
        <v>0</v>
      </c>
      <c r="J6" s="87">
        <f>SUMIFS(Daily!$Z:$Z, Daily!$AB:$AB, "*최준영*", Daily!$I:$I, "Other",Daily!$F:$F,"&lt;&gt;", Daily!$G:$G, "=2")</f>
        <v>8</v>
      </c>
      <c r="K6" s="87">
        <f t="shared" ref="K6:L16" si="0">C6+E6+G6+I6</f>
        <v>27</v>
      </c>
      <c r="L6" s="88">
        <f t="shared" si="0"/>
        <v>125</v>
      </c>
    </row>
    <row r="7" spans="2:12" ht="21" customHeight="1">
      <c r="B7" s="86" t="s">
        <v>18</v>
      </c>
      <c r="C7" s="87"/>
      <c r="D7" s="88"/>
      <c r="E7" s="87">
        <f>SUMIFS(Daily!$S:$S, Daily!$AB:$AB, "*최준영*", Daily!$I:$I, "*수리완료",Daily!$F:$F,"&lt;&gt;", Daily!$G:$G, "=3")</f>
        <v>2</v>
      </c>
      <c r="F7" s="87">
        <f>SUMIFS(Daily!$Z:$Z, Daily!$AB:$AB, "*최준영*", Daily!$I:$I, "*수리완료",Daily!$F:$F,"&lt;&gt;", Daily!$G:$G, "=3")+SUMIFS(Daily!$Z:$Z, Daily!$AB:$AB, "*최준영*", Daily!$I:$I, "폐기",Daily!$F:$F,"&lt;&gt;", Daily!$G:$G, "=3")+SUMIFS(Daily!$Z:$Z, Daily!$AB:$AB, "*최준영*", Daily!$I:$I, "수리불가",Daily!$F:$F,"&lt;&gt;", Daily!$G:$G, "=3")</f>
        <v>12</v>
      </c>
      <c r="G7" s="87"/>
      <c r="H7" s="88"/>
      <c r="I7" s="87">
        <f>SUMIFS(Daily!$S:$S, Daily!$AB:$AB, "*최준영*", Daily!$I:$I, "Other", Daily!$F:$F,"&lt;&gt;", Daily!$G:$G, "=3")</f>
        <v>0</v>
      </c>
      <c r="J7" s="87">
        <f>SUMIFS(Daily!$Z:$Z, Daily!$AB:$AB, "*최준영*", Daily!$I:$I, "Other",Daily!$F:$F,"&lt;&gt;", Daily!$G:$G, "=3")</f>
        <v>0</v>
      </c>
      <c r="K7" s="87">
        <f t="shared" si="0"/>
        <v>2</v>
      </c>
      <c r="L7" s="88">
        <f t="shared" si="0"/>
        <v>12</v>
      </c>
    </row>
    <row r="8" spans="2:12" ht="21" customHeight="1">
      <c r="B8" s="86" t="s">
        <v>36</v>
      </c>
      <c r="C8" s="87"/>
      <c r="D8" s="88"/>
      <c r="E8" s="87">
        <f>SUMIFS(Daily!$S:$S, Daily!$AB:$AB, "*최준영*", Daily!$I:$I, "*수리완료",Daily!$F:$F,"&lt;&gt;", Daily!$G:$G, "=4")</f>
        <v>0</v>
      </c>
      <c r="F8" s="87">
        <f>SUMIFS(Daily!$Z:$Z, Daily!$AB:$AB, "*최준영*", Daily!$I:$I, "*수리완료",Daily!$F:$F,"&lt;&gt;", Daily!$G:$G, "=4")+SUMIFS(Daily!$Z:$Z, Daily!$AB:$AB, "*최준영*", Daily!$I:$I, "폐기",Daily!$F:$F,"&lt;&gt;", Daily!$G:$G, "=4")+SUMIFS(Daily!$Z:$Z, Daily!$AB:$AB, "*최준영*", Daily!$I:$I, "수리불가",Daily!$F:$F,"&lt;&gt;", Daily!$G:$G, "=4")</f>
        <v>0</v>
      </c>
      <c r="G8" s="87"/>
      <c r="H8" s="88"/>
      <c r="I8" s="87">
        <f>SUMIFS(Daily!$S:$S, Daily!$AB:$AB, "*최준영*", Daily!$I:$I, "Other", Daily!$F:$F,"&lt;&gt;", Daily!$G:$G, "=4")</f>
        <v>0</v>
      </c>
      <c r="J8" s="87">
        <f>SUMIFS(Daily!$Z:$Z, Daily!$AB:$AB, "*최준영*", Daily!$I:$I, "Other",Daily!$F:$F,"&lt;&gt;", Daily!$G:$G, "=4")</f>
        <v>0</v>
      </c>
      <c r="K8" s="87">
        <f t="shared" si="0"/>
        <v>0</v>
      </c>
      <c r="L8" s="88">
        <f t="shared" si="0"/>
        <v>0</v>
      </c>
    </row>
    <row r="9" spans="2:12" ht="21" customHeight="1">
      <c r="B9" s="86" t="s">
        <v>44</v>
      </c>
      <c r="C9" s="87"/>
      <c r="D9" s="88"/>
      <c r="E9" s="87">
        <f>SUMIFS(Daily!$S:$S, Daily!$AB:$AB, "*최준영*", Daily!$I:$I, "*수리완료",Daily!$F:$F,"&lt;&gt;", Daily!$G:$G, "=5")</f>
        <v>0</v>
      </c>
      <c r="F9" s="87">
        <f>SUMIFS(Daily!$Z:$Z, Daily!$AB:$AB, "*최준영*", Daily!$I:$I, "*수리완료",Daily!$F:$F,"&lt;&gt;", Daily!$G:$G, "=5")+SUMIFS(Daily!$Z:$Z, Daily!$AB:$AB, "*최준영*", Daily!$I:$I, "폐기",Daily!$F:$F,"&lt;&gt;", Daily!$G:$G, "=5")+SUMIFS(Daily!$Z:$Z, Daily!$AB:$AB, "*최준영*", Daily!$I:$I, "수리불가",Daily!$F:$F,"&lt;&gt;", Daily!$G:$G, "=5")</f>
        <v>0</v>
      </c>
      <c r="G9" s="87"/>
      <c r="H9" s="88"/>
      <c r="I9" s="87">
        <f>SUMIFS(Daily!$S:$S, Daily!$AB:$AB, "*최준영*", Daily!$I:$I, "Other", Daily!$F:$F,"&lt;&gt;", Daily!$G:$G, "=5")</f>
        <v>0</v>
      </c>
      <c r="J9" s="87">
        <f>SUMIFS(Daily!$Z:$Z, Daily!$AB:$AB, "*최준영*", Daily!$I:$I, "Other",Daily!$F:$F,"&lt;&gt;", Daily!$G:$G, "=5")</f>
        <v>0</v>
      </c>
      <c r="K9" s="87">
        <f t="shared" si="0"/>
        <v>0</v>
      </c>
      <c r="L9" s="88">
        <f t="shared" si="0"/>
        <v>0</v>
      </c>
    </row>
    <row r="10" spans="2:12" ht="21" customHeight="1">
      <c r="B10" s="86" t="s">
        <v>43</v>
      </c>
      <c r="C10" s="87"/>
      <c r="D10" s="88"/>
      <c r="E10" s="87">
        <f>SUMIFS(Daily!$S:$S, Daily!$AB:$AB, "*최준영*", Daily!$I:$I, "*수리완료",Daily!$F:$F,"&lt;&gt;", Daily!$G:$G, "=6")</f>
        <v>0</v>
      </c>
      <c r="F10" s="87">
        <f>SUMIFS(Daily!$Z:$Z, Daily!$AB:$AB, "*최준영*", Daily!$I:$I, "*수리완료",Daily!$F:$F,"&lt;&gt;", Daily!$G:$G, "=6")+SUMIFS(Daily!$Z:$Z, Daily!$AB:$AB, "*최준영*", Daily!$I:$I, "폐기",Daily!$F:$F,"&lt;&gt;", Daily!$G:$G, "=6")+SUMIFS(Daily!$Z:$Z, Daily!$AB:$AB, "*최준영*", Daily!$I:$I, "수리불가",Daily!$F:$F,"&lt;&gt;", Daily!$G:$G, "=6")</f>
        <v>0</v>
      </c>
      <c r="G10" s="87"/>
      <c r="H10" s="88"/>
      <c r="I10" s="87">
        <f>SUMIFS(Daily!$S:$S, Daily!$AB:$AB, "*최준영*", Daily!$I:$I, "Other", Daily!$F:$F,"&lt;&gt;", Daily!$G:$G, "=6")</f>
        <v>0</v>
      </c>
      <c r="J10" s="87">
        <f>SUMIFS(Daily!$Z:$Z, Daily!$AB:$AB, "*최준영*", Daily!$I:$I, "Other",Daily!$F:$F,"&lt;&gt;", Daily!$G:$G, "=6")</f>
        <v>0</v>
      </c>
      <c r="K10" s="87">
        <f t="shared" si="0"/>
        <v>0</v>
      </c>
      <c r="L10" s="88">
        <f t="shared" si="0"/>
        <v>0</v>
      </c>
    </row>
    <row r="11" spans="2:12" ht="21" customHeight="1">
      <c r="B11" s="86" t="s">
        <v>46</v>
      </c>
      <c r="C11" s="87"/>
      <c r="D11" s="88"/>
      <c r="E11" s="87">
        <f>SUMIFS(Daily!$S:$S, Daily!$AB:$AB, "*최준영*", Daily!$I:$I, "*수리완료",Daily!$F:$F,"&lt;&gt;", Daily!$G:$G, "=7")</f>
        <v>0</v>
      </c>
      <c r="F11" s="87">
        <f>SUMIFS(Daily!$Z:$Z, Daily!$AB:$AB, "*최준영*", Daily!$I:$I, "*수리완료",Daily!$F:$F,"&lt;&gt;", Daily!$G:$G, "=7")+SUMIFS(Daily!$Z:$Z, Daily!$AB:$AB, "*최준영*", Daily!$I:$I, "폐기",Daily!$F:$F,"&lt;&gt;", Daily!$G:$G, "=7")+SUMIFS(Daily!$Z:$Z, Daily!$AB:$AB, "*최준영*", Daily!$I:$I, "수리불가",Daily!$F:$F,"&lt;&gt;", Daily!$G:$G, "=7")</f>
        <v>0</v>
      </c>
      <c r="G11" s="87"/>
      <c r="H11" s="88"/>
      <c r="I11" s="87">
        <f>SUMIFS(Daily!$S:$S, Daily!$AB:$AB, "*최준영*", Daily!$I:$I, "Other", Daily!$F:$F,"&lt;&gt;", Daily!$G:$G, "=7")</f>
        <v>0</v>
      </c>
      <c r="J11" s="87">
        <f>SUMIFS(Daily!$Z:$Z, Daily!$AB:$AB, "*최준영*", Daily!$I:$I, "Other",Daily!$F:$F,"&lt;&gt;", Daily!$G:$G, "=7")</f>
        <v>0</v>
      </c>
      <c r="K11" s="87">
        <f t="shared" si="0"/>
        <v>0</v>
      </c>
      <c r="L11" s="88">
        <f t="shared" si="0"/>
        <v>0</v>
      </c>
    </row>
    <row r="12" spans="2:12" ht="21" customHeight="1">
      <c r="B12" s="86" t="s">
        <v>48</v>
      </c>
      <c r="C12" s="87"/>
      <c r="D12" s="88"/>
      <c r="E12" s="87">
        <f>SUMIFS(Daily!$S:$S, Daily!$AB:$AB, "*최준영*", Daily!$I:$I, "*수리완료",Daily!$F:$F,"&lt;&gt;", Daily!$G:$G, "=8")</f>
        <v>0</v>
      </c>
      <c r="F12" s="87">
        <f>SUMIFS(Daily!$Z:$Z, Daily!$AB:$AB, "*최준영*", Daily!$I:$I, "*수리완료",Daily!$F:$F,"&lt;&gt;", Daily!$G:$G, "=8")+SUMIFS(Daily!$Z:$Z, Daily!$AB:$AB, "*최준영*", Daily!$I:$I, "폐기",Daily!$F:$F,"&lt;&gt;", Daily!$G:$G, "=8")+SUMIFS(Daily!$Z:$Z, Daily!$AB:$AB, "*최준영*", Daily!$I:$I, "수리불가",Daily!$F:$F,"&lt;&gt;", Daily!$G:$G, "=8")</f>
        <v>0</v>
      </c>
      <c r="G12" s="87"/>
      <c r="H12" s="88"/>
      <c r="I12" s="87">
        <f>SUMIFS(Daily!$S:$S, Daily!$AB:$AB, "*최준영*", Daily!$I:$I, "Other", Daily!$F:$F,"&lt;&gt;", Daily!$G:$G, "=8")</f>
        <v>0</v>
      </c>
      <c r="J12" s="87">
        <f>SUMIFS(Daily!$Z:$Z, Daily!$AB:$AB, "*최준영*", Daily!$I:$I, "Other",Daily!$F:$F,"&lt;&gt;", Daily!$G:$G, "=8")</f>
        <v>0</v>
      </c>
      <c r="K12" s="87">
        <f t="shared" si="0"/>
        <v>0</v>
      </c>
      <c r="L12" s="88">
        <f t="shared" si="0"/>
        <v>0</v>
      </c>
    </row>
    <row r="13" spans="2:12" ht="21" customHeight="1">
      <c r="B13" s="86" t="s">
        <v>19</v>
      </c>
      <c r="C13" s="87"/>
      <c r="D13" s="88"/>
      <c r="E13" s="87">
        <f>SUMIFS(Daily!$S:$S, Daily!$AB:$AB, "*최준영*", Daily!$I:$I, "*수리완료",Daily!$F:$F,"&lt;&gt;", Daily!$G:$G, "=9")</f>
        <v>0</v>
      </c>
      <c r="F13" s="87">
        <f>SUMIFS(Daily!$Z:$Z, Daily!$AB:$AB, "*최준영*", Daily!$I:$I, "*수리완료",Daily!$F:$F,"&lt;&gt;", Daily!$G:$G, "=9")+SUMIFS(Daily!$Z:$Z, Daily!$AB:$AB, "*최준영*", Daily!$I:$I, "폐기",Daily!$F:$F,"&lt;&gt;", Daily!$G:$G, "=9")+SUMIFS(Daily!$Z:$Z, Daily!$AB:$AB, "*최준영*", Daily!$I:$I, "수리불가",Daily!$F:$F,"&lt;&gt;", Daily!$G:$G, "=9")</f>
        <v>0</v>
      </c>
      <c r="G13" s="87"/>
      <c r="H13" s="88"/>
      <c r="I13" s="87">
        <f>SUMIFS(Daily!$S:$S, Daily!$AB:$AB, "*최준영*", Daily!$I:$I, "Other", Daily!$F:$F,"&lt;&gt;", Daily!$G:$G, "=9")</f>
        <v>0</v>
      </c>
      <c r="J13" s="87">
        <f>SUMIFS(Daily!$Z:$Z, Daily!$AB:$AB, "*최준영*", Daily!$I:$I, "Other",Daily!$F:$F,"&lt;&gt;", Daily!$G:$G, "=9")</f>
        <v>0</v>
      </c>
      <c r="K13" s="87">
        <f t="shared" si="0"/>
        <v>0</v>
      </c>
      <c r="L13" s="88">
        <f t="shared" si="0"/>
        <v>0</v>
      </c>
    </row>
    <row r="14" spans="2:12" ht="21" customHeight="1">
      <c r="B14" s="86" t="s">
        <v>96</v>
      </c>
      <c r="C14" s="87"/>
      <c r="D14" s="88"/>
      <c r="E14" s="87">
        <f>SUMIFS(Daily!$S:$S, Daily!$AB:$AB, "*최준영*", Daily!$I:$I, "*수리완료",Daily!$F:$F,"&lt;&gt;", Daily!$G:$G, "=10")</f>
        <v>0</v>
      </c>
      <c r="F14" s="87">
        <f>SUMIFS(Daily!$Z:$Z, Daily!$AB:$AB, "*최준영*", Daily!$I:$I, "*수리완료",Daily!$F:$F,"&lt;&gt;", Daily!$G:$G, "=10")+SUMIFS(Daily!$Z:$Z, Daily!$AB:$AB, "*최준영*", Daily!$I:$I, "폐기",Daily!$F:$F,"&lt;&gt;", Daily!$G:$G, "=10")+SUMIFS(Daily!$Z:$Z, Daily!$AB:$AB, "*최준영*", Daily!$I:$I, "수리불가",Daily!$F:$F,"&lt;&gt;", Daily!$G:$G, "=10")</f>
        <v>0</v>
      </c>
      <c r="G14" s="87"/>
      <c r="H14" s="88"/>
      <c r="I14" s="87">
        <f>SUMIFS(Daily!$S:$S, Daily!$AB:$AB, "*최준영*", Daily!$I:$I, "Other", Daily!$F:$F,"&lt;&gt;", Daily!$G:$G, "=10")</f>
        <v>0</v>
      </c>
      <c r="J14" s="87">
        <f>SUMIFS(Daily!$Z:$Z, Daily!$AB:$AB, "*최준영*", Daily!$I:$I, "Other",Daily!$F:$F,"&lt;&gt;", Daily!$G:$G, "=10")</f>
        <v>0</v>
      </c>
      <c r="K14" s="87">
        <f t="shared" si="0"/>
        <v>0</v>
      </c>
      <c r="L14" s="88">
        <f t="shared" si="0"/>
        <v>0</v>
      </c>
    </row>
    <row r="15" spans="2:12" ht="21" customHeight="1">
      <c r="B15" s="86" t="s">
        <v>24</v>
      </c>
      <c r="C15" s="87"/>
      <c r="D15" s="88"/>
      <c r="E15" s="87">
        <f>SUMIFS(Daily!$S:$S, Daily!$AB:$AB, "*최준영*", Daily!$I:$I, "*수리완료",Daily!$F:$F,"&lt;&gt;", Daily!$G:$G, "=11")</f>
        <v>0</v>
      </c>
      <c r="F15" s="87">
        <f>SUMIFS(Daily!$Z:$Z, Daily!$AB:$AB, "*최준영*", Daily!$I:$I, "*수리완료",Daily!$F:$F,"&lt;&gt;", Daily!$G:$G, "=11")+SUMIFS(Daily!$Z:$Z, Daily!$AB:$AB, "*최준영*", Daily!$I:$I, "폐기",Daily!$F:$F,"&lt;&gt;", Daily!$G:$G, "=11")+SUMIFS(Daily!$Z:$Z, Daily!$AB:$AB, "*최준영*", Daily!$I:$I, "수리불가",Daily!$F:$F,"&lt;&gt;", Daily!$G:$G, "=11")</f>
        <v>0</v>
      </c>
      <c r="G15" s="87"/>
      <c r="H15" s="88"/>
      <c r="I15" s="87">
        <f>SUMIFS(Daily!$S:$S, Daily!$AB:$AB, "*최준영*", Daily!$I:$I, "Other", Daily!$F:$F,"&lt;&gt;", Daily!$G:$G, "=11")</f>
        <v>0</v>
      </c>
      <c r="J15" s="87">
        <f>SUMIFS(Daily!$Z:$Z, Daily!$AB:$AB, "*최준영*", Daily!$I:$I, "Other",Daily!$F:$F,"&lt;&gt;", Daily!$G:$G, "=11")</f>
        <v>0</v>
      </c>
      <c r="K15" s="87">
        <f t="shared" si="0"/>
        <v>0</v>
      </c>
      <c r="L15" s="88">
        <f t="shared" si="0"/>
        <v>0</v>
      </c>
    </row>
    <row r="16" spans="2:12" ht="21" customHeight="1">
      <c r="B16" s="86" t="s">
        <v>25</v>
      </c>
      <c r="C16" s="87"/>
      <c r="D16" s="88"/>
      <c r="E16" s="87">
        <f>SUMIFS(Daily!$S:$S, Daily!$AB:$AB, "*최준영*", Daily!$I:$I, "*수리완료",Daily!$F:$F,"&lt;&gt;", Daily!$G:$G, "=12")</f>
        <v>0</v>
      </c>
      <c r="F16" s="87">
        <f>SUMIFS(Daily!$Z:$Z, Daily!$AB:$AB, "*최준영*", Daily!$I:$I, "*수리완료",Daily!$F:$F,"&lt;&gt;", Daily!$G:$G, "=12")+SUMIFS(Daily!$Z:$Z, Daily!$AB:$AB, "*최준영*", Daily!$I:$I, "폐기",Daily!$F:$F,"&lt;&gt;", Daily!$G:$G, "=12")+SUMIFS(Daily!$Z:$Z, Daily!$AB:$AB, "*최준영*", Daily!$I:$I, "수리불가",Daily!$F:$F,"&lt;&gt;", Daily!$G:$G, "=12")</f>
        <v>0</v>
      </c>
      <c r="G16" s="87"/>
      <c r="H16" s="88"/>
      <c r="I16" s="87">
        <f>SUMIFS(Daily!$S:$S, Daily!$AB:$AB, "*최준영*", Daily!$I:$I, "Other", Daily!$F:$F,"&lt;&gt;", Daily!$G:$G, "=12")</f>
        <v>0</v>
      </c>
      <c r="J16" s="87">
        <f>SUMIFS(Daily!$Z:$Z, Daily!$AB:$AB, "*최준영*", Daily!$I:$I, "Other",Daily!$F:$F,"&lt;&gt;", Daily!$G:$G, "=12")</f>
        <v>0</v>
      </c>
      <c r="K16" s="87">
        <f t="shared" si="0"/>
        <v>0</v>
      </c>
      <c r="L16" s="88">
        <f t="shared" si="0"/>
        <v>0</v>
      </c>
    </row>
    <row r="17" spans="2:12" ht="21" customHeight="1">
      <c r="B17" s="85" t="s">
        <v>93</v>
      </c>
      <c r="C17" s="89">
        <f t="shared" ref="C17:L17" si="1">SUM(C5:C16)</f>
        <v>0</v>
      </c>
      <c r="D17" s="85">
        <f t="shared" si="1"/>
        <v>0</v>
      </c>
      <c r="E17" s="89">
        <f t="shared" si="1"/>
        <v>53</v>
      </c>
      <c r="F17" s="90">
        <f t="shared" si="1"/>
        <v>206</v>
      </c>
      <c r="G17" s="89">
        <f t="shared" si="1"/>
        <v>0</v>
      </c>
      <c r="H17" s="90">
        <f t="shared" si="1"/>
        <v>0</v>
      </c>
      <c r="I17" s="89">
        <f t="shared" si="1"/>
        <v>3</v>
      </c>
      <c r="J17" s="90">
        <f t="shared" si="1"/>
        <v>40</v>
      </c>
      <c r="K17" s="89">
        <f t="shared" si="1"/>
        <v>56</v>
      </c>
      <c r="L17" s="90">
        <f t="shared" si="1"/>
        <v>246</v>
      </c>
    </row>
  </sheetData>
  <mergeCells count="7">
    <mergeCell ref="B2:B4"/>
    <mergeCell ref="C2:J2"/>
    <mergeCell ref="K2:L3"/>
    <mergeCell ref="C3:D3"/>
    <mergeCell ref="E3:F3"/>
    <mergeCell ref="G3:H3"/>
    <mergeCell ref="I3:J3"/>
  </mergeCells>
  <phoneticPr fontId="3" type="noConversion"/>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B1:L17"/>
  <sheetViews>
    <sheetView showGridLines="0" workbookViewId="0">
      <selection activeCell="J16" sqref="J16"/>
    </sheetView>
  </sheetViews>
  <sheetFormatPr defaultRowHeight="16.5"/>
  <cols>
    <col min="1" max="1" width="2.75" customWidth="1"/>
    <col min="2" max="2" width="11.875" style="20" customWidth="1"/>
    <col min="3" max="6" width="12.375" style="20" customWidth="1"/>
    <col min="7" max="12" width="12.375" customWidth="1"/>
  </cols>
  <sheetData>
    <row r="1" spans="2:12" ht="26.25">
      <c r="B1" s="83" t="s">
        <v>90</v>
      </c>
      <c r="C1" s="84"/>
      <c r="D1" s="84"/>
      <c r="E1" s="84"/>
      <c r="F1" s="84"/>
      <c r="G1" s="35"/>
      <c r="H1" s="35"/>
      <c r="I1" s="35"/>
      <c r="J1" s="35"/>
      <c r="K1" s="35"/>
      <c r="L1" s="35"/>
    </row>
    <row r="2" spans="2:12" ht="21" customHeight="1">
      <c r="B2" s="231" t="s">
        <v>91</v>
      </c>
      <c r="C2" s="234" t="s">
        <v>92</v>
      </c>
      <c r="D2" s="235"/>
      <c r="E2" s="235"/>
      <c r="F2" s="235"/>
      <c r="G2" s="235"/>
      <c r="H2" s="235"/>
      <c r="I2" s="235"/>
      <c r="J2" s="236"/>
      <c r="K2" s="237" t="s">
        <v>93</v>
      </c>
      <c r="L2" s="238"/>
    </row>
    <row r="3" spans="2:12" ht="21" customHeight="1">
      <c r="B3" s="232"/>
      <c r="C3" s="234" t="s">
        <v>94</v>
      </c>
      <c r="D3" s="236"/>
      <c r="E3" s="234"/>
      <c r="F3" s="236"/>
      <c r="G3" s="234" t="s">
        <v>95</v>
      </c>
      <c r="H3" s="236"/>
      <c r="I3" s="234" t="s">
        <v>30</v>
      </c>
      <c r="J3" s="236"/>
      <c r="K3" s="239"/>
      <c r="L3" s="240"/>
    </row>
    <row r="4" spans="2:12" ht="21" customHeight="1">
      <c r="B4" s="233"/>
      <c r="C4" s="85" t="s">
        <v>85</v>
      </c>
      <c r="D4" s="85" t="s">
        <v>86</v>
      </c>
      <c r="E4" s="85" t="s">
        <v>85</v>
      </c>
      <c r="F4" s="85" t="s">
        <v>86</v>
      </c>
      <c r="G4" s="85" t="s">
        <v>85</v>
      </c>
      <c r="H4" s="85" t="s">
        <v>86</v>
      </c>
      <c r="I4" s="85" t="s">
        <v>85</v>
      </c>
      <c r="J4" s="85" t="s">
        <v>86</v>
      </c>
      <c r="K4" s="85" t="s">
        <v>85</v>
      </c>
      <c r="L4" s="85" t="s">
        <v>86</v>
      </c>
    </row>
    <row r="5" spans="2:12" ht="21" customHeight="1">
      <c r="B5" s="86" t="s">
        <v>20</v>
      </c>
      <c r="C5" s="87"/>
      <c r="D5" s="88"/>
      <c r="E5" s="87">
        <f>SUMIFS(Daily!$S:$S, Daily!$AB:$AB, "*정기수*", Daily!$I:$I, "*수리완료",Daily!$F:$F,"&lt;&gt;", Daily!$G:$G, "=1")</f>
        <v>37</v>
      </c>
      <c r="F5" s="87">
        <f>SUMIFS(Daily!$Z:$Z, Daily!$AB:$AB, "*정기수*", Daily!$I:$I, "*수리완료",Daily!$F:$F,"&lt;&gt;", Daily!$G:$G, "=1")+SUMIFS(Daily!$Z:$Z, Daily!$AB:$AB, "*정기수*", Daily!$I:$I, "폐기",Daily!$F:$F,"&lt;&gt;", Daily!$G:$G, "=1")+SUMIFS(Daily!$Z:$Z, Daily!$AB:$AB, "*정기수*", Daily!$I:$I, "수리불가",Daily!$F:$F,"&lt;&gt;", Daily!$G:$G, "=1")</f>
        <v>63</v>
      </c>
      <c r="G5" s="87"/>
      <c r="H5" s="88"/>
      <c r="I5" s="87">
        <f>SUMIFS(Daily!$S:$S, Daily!$AB:$AB, "*정기수*", Daily!$I:$I, "Other", Daily!$F:$F,"&lt;&gt;", Daily!$G:$G, "=1")</f>
        <v>4</v>
      </c>
      <c r="J5" s="87">
        <f>SUMIFS(Daily!$Z:$Z, Daily!$AB:$AB, "*정기수*", Daily!$I:$I, "Other",Daily!$F:$F,"&lt;&gt;", Daily!$G:$G, "=1")</f>
        <v>21</v>
      </c>
      <c r="K5" s="87">
        <f>C5+E5+G5+I5</f>
        <v>41</v>
      </c>
      <c r="L5" s="88">
        <f>D5+F5+H5+J5</f>
        <v>84</v>
      </c>
    </row>
    <row r="6" spans="2:12" ht="21" customHeight="1">
      <c r="B6" s="86" t="s">
        <v>35</v>
      </c>
      <c r="C6" s="87"/>
      <c r="D6" s="88"/>
      <c r="E6" s="87">
        <f>SUMIFS(Daily!$S:$S, Daily!$AB:$AB, "*정기수*", Daily!$I:$I, "*수리완료",Daily!$F:$F,"&lt;&gt;", Daily!$G:$G, "=2")</f>
        <v>53</v>
      </c>
      <c r="F6" s="87">
        <f>SUMIFS(Daily!$Z:$Z, Daily!$AB:$AB, "*정기수*", Daily!$I:$I, "*수리완료",Daily!$F:$F,"&lt;&gt;", Daily!$G:$G, "=2")+SUMIFS(Daily!$Z:$Z, Daily!$AB:$AB, "*정기수*", Daily!$I:$I, "폐기",Daily!$F:$F,"&lt;&gt;", Daily!$G:$G, "=2")+SUMIFS(Daily!$Z:$Z, Daily!$AB:$AB, "*정기수*", Daily!$I:$I, "수리불가",Daily!$F:$F,"&lt;&gt;", Daily!$G:$G, "=2")</f>
        <v>115</v>
      </c>
      <c r="G6" s="87"/>
      <c r="H6" s="88"/>
      <c r="I6" s="87">
        <f>SUMIFS(Daily!$S:$S, Daily!$AB:$AB, "*정기수*", Daily!$I:$I, "Other", Daily!$F:$F,"&lt;&gt;", Daily!$G:$G, "=2")</f>
        <v>0</v>
      </c>
      <c r="J6" s="87">
        <f>SUMIFS(Daily!$Z:$Z, Daily!$AB:$AB, "*정기수*", Daily!$I:$I, "Other",Daily!$F:$F,"&lt;&gt;", Daily!$G:$G, "=2")</f>
        <v>0</v>
      </c>
      <c r="K6" s="87">
        <f t="shared" ref="K6:L16" si="0">C6+E6+G6+I6</f>
        <v>53</v>
      </c>
      <c r="L6" s="88">
        <f t="shared" si="0"/>
        <v>115</v>
      </c>
    </row>
    <row r="7" spans="2:12" ht="21" customHeight="1">
      <c r="B7" s="86" t="s">
        <v>18</v>
      </c>
      <c r="C7" s="87"/>
      <c r="D7" s="88"/>
      <c r="E7" s="87">
        <f>SUMIFS(Daily!$S:$S, Daily!$AB:$AB, "*정기수*", Daily!$I:$I, "*수리완료",Daily!$F:$F,"&lt;&gt;", Daily!$G:$G, "=3")</f>
        <v>1</v>
      </c>
      <c r="F7" s="87">
        <f>SUMIFS(Daily!$Z:$Z, Daily!$AB:$AB, "*정기수*", Daily!$I:$I, "*수리완료",Daily!$F:$F,"&lt;&gt;", Daily!$G:$G, "=3")+SUMIFS(Daily!$Z:$Z, Daily!$AB:$AB, "*정기수*", Daily!$I:$I, "폐기",Daily!$F:$F,"&lt;&gt;", Daily!$G:$G, "=3")+SUMIFS(Daily!$Z:$Z, Daily!$AB:$AB, "*정기수*", Daily!$I:$I, "수리불가",Daily!$F:$F,"&lt;&gt;", Daily!$G:$G, "=3")</f>
        <v>10</v>
      </c>
      <c r="G7" s="87"/>
      <c r="H7" s="88"/>
      <c r="I7" s="87">
        <f>SUMIFS(Daily!$S:$S, Daily!$AB:$AB, "*정기수*", Daily!$I:$I, "Other", Daily!$F:$F,"&lt;&gt;", Daily!$G:$G, "=3")</f>
        <v>0</v>
      </c>
      <c r="J7" s="87">
        <f>SUMIFS(Daily!$Z:$Z, Daily!$AB:$AB, "*정기수*", Daily!$I:$I, "Other",Daily!$F:$F,"&lt;&gt;", Daily!$G:$G, "=3")</f>
        <v>0</v>
      </c>
      <c r="K7" s="87">
        <f t="shared" si="0"/>
        <v>1</v>
      </c>
      <c r="L7" s="88">
        <f t="shared" si="0"/>
        <v>10</v>
      </c>
    </row>
    <row r="8" spans="2:12" ht="21" customHeight="1">
      <c r="B8" s="86" t="s">
        <v>36</v>
      </c>
      <c r="C8" s="87"/>
      <c r="D8" s="88"/>
      <c r="E8" s="87">
        <f>SUMIFS(Daily!$S:$S, Daily!$AB:$AB, "*정기수*", Daily!$I:$I, "*수리완료",Daily!$F:$F,"&lt;&gt;", Daily!$G:$G, "=4")</f>
        <v>0</v>
      </c>
      <c r="F8" s="87">
        <f>SUMIFS(Daily!$Z:$Z, Daily!$AB:$AB, "*정기수*", Daily!$I:$I, "*수리완료",Daily!$F:$F,"&lt;&gt;", Daily!$G:$G, "=4")+SUMIFS(Daily!$Z:$Z, Daily!$AB:$AB, "*정기수*", Daily!$I:$I, "폐기",Daily!$F:$F,"&lt;&gt;", Daily!$G:$G, "=4")+SUMIFS(Daily!$Z:$Z, Daily!$AB:$AB, "*정기수*", Daily!$I:$I, "수리불가",Daily!$F:$F,"&lt;&gt;", Daily!$G:$G, "=4")</f>
        <v>0</v>
      </c>
      <c r="G8" s="87"/>
      <c r="H8" s="88"/>
      <c r="I8" s="87">
        <f>SUMIFS(Daily!$S:$S, Daily!$AB:$AB, "*정기수*", Daily!$I:$I, "Other", Daily!$F:$F,"&lt;&gt;", Daily!$G:$G, "=4")</f>
        <v>0</v>
      </c>
      <c r="J8" s="87">
        <f>SUMIFS(Daily!$Z:$Z, Daily!$AB:$AB, "*정기수*", Daily!$I:$I, "Other",Daily!$F:$F,"&lt;&gt;", Daily!$G:$G, "=4")</f>
        <v>0</v>
      </c>
      <c r="K8" s="87">
        <f t="shared" si="0"/>
        <v>0</v>
      </c>
      <c r="L8" s="88">
        <f t="shared" si="0"/>
        <v>0</v>
      </c>
    </row>
    <row r="9" spans="2:12" ht="21" customHeight="1">
      <c r="B9" s="86" t="s">
        <v>44</v>
      </c>
      <c r="C9" s="87"/>
      <c r="D9" s="88"/>
      <c r="E9" s="87">
        <f>SUMIFS(Daily!$S:$S, Daily!$AB:$AB, "*정기수*", Daily!$I:$I, "*수리완료",Daily!$F:$F,"&lt;&gt;", Daily!$G:$G, "=5")</f>
        <v>0</v>
      </c>
      <c r="F9" s="87">
        <f>SUMIFS(Daily!$Z:$Z, Daily!$AB:$AB, "*정기수*", Daily!$I:$I, "*수리완료",Daily!$F:$F,"&lt;&gt;", Daily!$G:$G, "=5")+SUMIFS(Daily!$Z:$Z, Daily!$AB:$AB, "*정기수*", Daily!$I:$I, "폐기",Daily!$F:$F,"&lt;&gt;", Daily!$G:$G, "=5")+SUMIFS(Daily!$Z:$Z, Daily!$AB:$AB, "*정기수*", Daily!$I:$I, "수리불가",Daily!$F:$F,"&lt;&gt;", Daily!$G:$G, "=5")</f>
        <v>0</v>
      </c>
      <c r="G9" s="87"/>
      <c r="H9" s="88"/>
      <c r="I9" s="87">
        <f>SUMIFS(Daily!$S:$S, Daily!$AB:$AB, "*정기수*", Daily!$I:$I, "Other", Daily!$F:$F,"&lt;&gt;", Daily!$G:$G, "=5")</f>
        <v>0</v>
      </c>
      <c r="J9" s="87">
        <f>SUMIFS(Daily!$Z:$Z, Daily!$AB:$AB, "*정기수*", Daily!$I:$I, "Other",Daily!$F:$F,"&lt;&gt;", Daily!$G:$G, "=5")</f>
        <v>0</v>
      </c>
      <c r="K9" s="87">
        <f t="shared" si="0"/>
        <v>0</v>
      </c>
      <c r="L9" s="88">
        <f t="shared" si="0"/>
        <v>0</v>
      </c>
    </row>
    <row r="10" spans="2:12" ht="21" customHeight="1">
      <c r="B10" s="86" t="s">
        <v>43</v>
      </c>
      <c r="C10" s="87"/>
      <c r="D10" s="88"/>
      <c r="E10" s="87">
        <f>SUMIFS(Daily!$S:$S, Daily!$AB:$AB, "*정기수*", Daily!$I:$I, "*수리완료",Daily!$F:$F,"&lt;&gt;", Daily!$G:$G, "=6")</f>
        <v>0</v>
      </c>
      <c r="F10" s="87">
        <f>SUMIFS(Daily!$Z:$Z, Daily!$AB:$AB, "*정기수*", Daily!$I:$I, "*수리완료",Daily!$F:$F,"&lt;&gt;", Daily!$G:$G, "=6")+SUMIFS(Daily!$Z:$Z, Daily!$AB:$AB, "*정기수*", Daily!$I:$I, "폐기",Daily!$F:$F,"&lt;&gt;", Daily!$G:$G, "=6")+SUMIFS(Daily!$Z:$Z, Daily!$AB:$AB, "*정기수*", Daily!$I:$I, "수리불가",Daily!$F:$F,"&lt;&gt;", Daily!$G:$G, "=6")</f>
        <v>0</v>
      </c>
      <c r="G10" s="87"/>
      <c r="H10" s="88"/>
      <c r="I10" s="87">
        <f>SUMIFS(Daily!$S:$S, Daily!$AB:$AB, "*정기수*", Daily!$I:$I, "Other", Daily!$F:$F,"&lt;&gt;", Daily!$G:$G, "=6")</f>
        <v>0</v>
      </c>
      <c r="J10" s="87">
        <f>SUMIFS(Daily!$Z:$Z, Daily!$AB:$AB, "*정기수*", Daily!$I:$I, "Other",Daily!$F:$F,"&lt;&gt;", Daily!$G:$G, "=6")</f>
        <v>0</v>
      </c>
      <c r="K10" s="87">
        <f t="shared" si="0"/>
        <v>0</v>
      </c>
      <c r="L10" s="88">
        <f t="shared" si="0"/>
        <v>0</v>
      </c>
    </row>
    <row r="11" spans="2:12" ht="21" customHeight="1">
      <c r="B11" s="86" t="s">
        <v>46</v>
      </c>
      <c r="C11" s="87"/>
      <c r="D11" s="88"/>
      <c r="E11" s="87">
        <f>SUMIFS(Daily!$S:$S, Daily!$AB:$AB, "*정기수*", Daily!$I:$I, "*수리완료",Daily!$F:$F,"&lt;&gt;", Daily!$G:$G, "=7")</f>
        <v>0</v>
      </c>
      <c r="F11" s="87">
        <f>SUMIFS(Daily!$Z:$Z, Daily!$AB:$AB, "*정기수*", Daily!$I:$I, "*수리완료",Daily!$F:$F,"&lt;&gt;", Daily!$G:$G, "=7")+SUMIFS(Daily!$Z:$Z, Daily!$AB:$AB, "*정기수*", Daily!$I:$I, "폐기",Daily!$F:$F,"&lt;&gt;", Daily!$G:$G, "=7")+SUMIFS(Daily!$Z:$Z, Daily!$AB:$AB, "*정기수*", Daily!$I:$I, "수리불가",Daily!$F:$F,"&lt;&gt;", Daily!$G:$G, "=7")</f>
        <v>0</v>
      </c>
      <c r="G11" s="87"/>
      <c r="H11" s="88"/>
      <c r="I11" s="87">
        <f>SUMIFS(Daily!$S:$S, Daily!$AB:$AB, "*정기수*", Daily!$I:$I, "Other", Daily!$F:$F,"&lt;&gt;", Daily!$G:$G, "=7")</f>
        <v>0</v>
      </c>
      <c r="J11" s="87">
        <f>SUMIFS(Daily!$Z:$Z, Daily!$AB:$AB, "*정기수*", Daily!$I:$I, "Other",Daily!$F:$F,"&lt;&gt;", Daily!$G:$G, "=7")</f>
        <v>0</v>
      </c>
      <c r="K11" s="87">
        <f t="shared" si="0"/>
        <v>0</v>
      </c>
      <c r="L11" s="88">
        <f t="shared" si="0"/>
        <v>0</v>
      </c>
    </row>
    <row r="12" spans="2:12" ht="21" customHeight="1">
      <c r="B12" s="86" t="s">
        <v>48</v>
      </c>
      <c r="C12" s="87"/>
      <c r="D12" s="88"/>
      <c r="E12" s="87">
        <f>SUMIFS(Daily!$S:$S, Daily!$AB:$AB, "*정기수*", Daily!$I:$I, "*수리완료",Daily!$F:$F,"&lt;&gt;", Daily!$G:$G, "=8")</f>
        <v>0</v>
      </c>
      <c r="F12" s="87">
        <f>SUMIFS(Daily!$Z:$Z, Daily!$AB:$AB, "*정기수*", Daily!$I:$I, "*수리완료",Daily!$F:$F,"&lt;&gt;", Daily!$G:$G, "=8")+SUMIFS(Daily!$Z:$Z, Daily!$AB:$AB, "*정기수*", Daily!$I:$I, "폐기",Daily!$F:$F,"&lt;&gt;", Daily!$G:$G, "=8")+SUMIFS(Daily!$Z:$Z, Daily!$AB:$AB, "*정기수*", Daily!$I:$I, "수리불가",Daily!$F:$F,"&lt;&gt;", Daily!$G:$G, "=8")</f>
        <v>0</v>
      </c>
      <c r="G12" s="87"/>
      <c r="H12" s="88"/>
      <c r="I12" s="87">
        <f>SUMIFS(Daily!$S:$S, Daily!$AB:$AB, "*정기수*", Daily!$I:$I, "Other", Daily!$F:$F,"&lt;&gt;", Daily!$G:$G, "=8")</f>
        <v>0</v>
      </c>
      <c r="J12" s="87">
        <f>SUMIFS(Daily!$Z:$Z, Daily!$AB:$AB, "*정기수*", Daily!$I:$I, "Other",Daily!$F:$F,"&lt;&gt;", Daily!$G:$G, "=8")</f>
        <v>0</v>
      </c>
      <c r="K12" s="87">
        <f t="shared" si="0"/>
        <v>0</v>
      </c>
      <c r="L12" s="88">
        <f t="shared" si="0"/>
        <v>0</v>
      </c>
    </row>
    <row r="13" spans="2:12" ht="21" customHeight="1">
      <c r="B13" s="86" t="s">
        <v>19</v>
      </c>
      <c r="C13" s="87"/>
      <c r="D13" s="88"/>
      <c r="E13" s="87">
        <f>SUMIFS(Daily!$S:$S, Daily!$AB:$AB, "*정기수*", Daily!$I:$I, "*수리완료",Daily!$F:$F,"&lt;&gt;", Daily!$G:$G, "=9")</f>
        <v>0</v>
      </c>
      <c r="F13" s="87">
        <f>SUMIFS(Daily!$Z:$Z, Daily!$AB:$AB, "*정기수*", Daily!$I:$I, "*수리완료",Daily!$F:$F,"&lt;&gt;", Daily!$G:$G, "=9")+SUMIFS(Daily!$Z:$Z, Daily!$AB:$AB, "*정기수*", Daily!$I:$I, "폐기",Daily!$F:$F,"&lt;&gt;", Daily!$G:$G, "=9")+SUMIFS(Daily!$Z:$Z, Daily!$AB:$AB, "*정기수*", Daily!$I:$I, "수리불가",Daily!$F:$F,"&lt;&gt;", Daily!$G:$G, "=9")</f>
        <v>0</v>
      </c>
      <c r="G13" s="87"/>
      <c r="H13" s="88"/>
      <c r="I13" s="87">
        <f>SUMIFS(Daily!$S:$S, Daily!$AB:$AB, "*정기수*", Daily!$I:$I, "Other", Daily!$F:$F,"&lt;&gt;", Daily!$G:$G, "=9")</f>
        <v>0</v>
      </c>
      <c r="J13" s="87">
        <f>SUMIFS(Daily!$Z:$Z, Daily!$AB:$AB, "*정기수*", Daily!$I:$I, "Other",Daily!$F:$F,"&lt;&gt;", Daily!$G:$G, "=9")</f>
        <v>0</v>
      </c>
      <c r="K13" s="87">
        <f t="shared" si="0"/>
        <v>0</v>
      </c>
      <c r="L13" s="88">
        <f t="shared" si="0"/>
        <v>0</v>
      </c>
    </row>
    <row r="14" spans="2:12" ht="21" customHeight="1">
      <c r="B14" s="86" t="s">
        <v>96</v>
      </c>
      <c r="C14" s="87"/>
      <c r="D14" s="88"/>
      <c r="E14" s="87">
        <f>SUMIFS(Daily!$S:$S, Daily!$AB:$AB, "*정기수*", Daily!$I:$I, "*수리완료",Daily!$F:$F,"&lt;&gt;", Daily!$G:$G, "=10")</f>
        <v>0</v>
      </c>
      <c r="F14" s="87">
        <f>SUMIFS(Daily!$Z:$Z, Daily!$AB:$AB, "*정기수*", Daily!$I:$I, "*수리완료",Daily!$F:$F,"&lt;&gt;", Daily!$G:$G, "=10")+SUMIFS(Daily!$Z:$Z, Daily!$AB:$AB, "*정기수*", Daily!$I:$I, "폐기",Daily!$F:$F,"&lt;&gt;", Daily!$G:$G, "=10")+SUMIFS(Daily!$Z:$Z, Daily!$AB:$AB, "*정기수*", Daily!$I:$I, "수리불가",Daily!$F:$F,"&lt;&gt;", Daily!$G:$G, "=10")</f>
        <v>0</v>
      </c>
      <c r="G14" s="87"/>
      <c r="H14" s="88"/>
      <c r="I14" s="87">
        <f>SUMIFS(Daily!$S:$S, Daily!$AB:$AB, "*정기수*", Daily!$I:$I, "Other", Daily!$F:$F,"&lt;&gt;", Daily!$G:$G, "=10")</f>
        <v>0</v>
      </c>
      <c r="J14" s="87">
        <f>SUMIFS(Daily!$Z:$Z, Daily!$AB:$AB, "*정기수*", Daily!$I:$I, "Other",Daily!$F:$F,"&lt;&gt;", Daily!$G:$G, "=10")</f>
        <v>0</v>
      </c>
      <c r="K14" s="87">
        <f t="shared" si="0"/>
        <v>0</v>
      </c>
      <c r="L14" s="88">
        <f t="shared" si="0"/>
        <v>0</v>
      </c>
    </row>
    <row r="15" spans="2:12" ht="21" customHeight="1">
      <c r="B15" s="86" t="s">
        <v>24</v>
      </c>
      <c r="C15" s="87"/>
      <c r="D15" s="88"/>
      <c r="E15" s="87">
        <f>SUMIFS(Daily!$S:$S, Daily!$AB:$AB, "*정기수*", Daily!$I:$I, "*수리완료",Daily!$F:$F,"&lt;&gt;", Daily!$G:$G, "=11")</f>
        <v>0</v>
      </c>
      <c r="F15" s="87">
        <f>SUMIFS(Daily!$Z:$Z, Daily!$AB:$AB, "*정기수*", Daily!$I:$I, "*수리완료",Daily!$F:$F,"&lt;&gt;", Daily!$G:$G, "=11")+SUMIFS(Daily!$Z:$Z, Daily!$AB:$AB, "*정기수*", Daily!$I:$I, "폐기",Daily!$F:$F,"&lt;&gt;", Daily!$G:$G, "=11")+SUMIFS(Daily!$Z:$Z, Daily!$AB:$AB, "*정기수*", Daily!$I:$I, "수리불가",Daily!$F:$F,"&lt;&gt;", Daily!$G:$G, "=11")</f>
        <v>0</v>
      </c>
      <c r="G15" s="87"/>
      <c r="H15" s="88"/>
      <c r="I15" s="87">
        <f>SUMIFS(Daily!$S:$S, Daily!$AB:$AB, "*정기수*", Daily!$I:$I, "Other", Daily!$F:$F,"&lt;&gt;", Daily!$G:$G, "=11")</f>
        <v>0</v>
      </c>
      <c r="J15" s="87">
        <f>SUMIFS(Daily!$Z:$Z, Daily!$AB:$AB, "*정기수*", Daily!$I:$I, "Other",Daily!$F:$F,"&lt;&gt;", Daily!$G:$G, "=11")</f>
        <v>0</v>
      </c>
      <c r="K15" s="87">
        <f t="shared" si="0"/>
        <v>0</v>
      </c>
      <c r="L15" s="88">
        <f t="shared" si="0"/>
        <v>0</v>
      </c>
    </row>
    <row r="16" spans="2:12" ht="21" customHeight="1">
      <c r="B16" s="86" t="s">
        <v>25</v>
      </c>
      <c r="C16" s="87"/>
      <c r="D16" s="88"/>
      <c r="E16" s="87">
        <f>SUMIFS(Daily!$S:$S, Daily!$AB:$AB, "*정기수*", Daily!$I:$I, "*수리완료",Daily!$F:$F,"&lt;&gt;", Daily!$G:$G, "=12")</f>
        <v>0</v>
      </c>
      <c r="F16" s="87">
        <f>SUMIFS(Daily!$Z:$Z, Daily!$AB:$AB, "*정기수*", Daily!$I:$I, "*수리완료",Daily!$F:$F,"&lt;&gt;", Daily!$G:$G, "=12")+SUMIFS(Daily!$Z:$Z, Daily!$AB:$AB, "*정기수*", Daily!$I:$I, "폐기",Daily!$F:$F,"&lt;&gt;", Daily!$G:$G, "=12")+SUMIFS(Daily!$Z:$Z, Daily!$AB:$AB, "*정기수*", Daily!$I:$I, "수리불가",Daily!$F:$F,"&lt;&gt;", Daily!$G:$G, "=12")</f>
        <v>0</v>
      </c>
      <c r="G16" s="87"/>
      <c r="H16" s="88"/>
      <c r="I16" s="87">
        <f>SUMIFS(Daily!$S:$S, Daily!$AB:$AB, "*정기수*", Daily!$I:$I, "Other", Daily!$F:$F,"&lt;&gt;", Daily!$G:$G, "=12")</f>
        <v>0</v>
      </c>
      <c r="J16" s="87">
        <f>SUMIFS(Daily!$Z:$Z, Daily!$AB:$AB, "*정기수*", Daily!$I:$I, "Other",Daily!$F:$F,"&lt;&gt;", Daily!$G:$G, "=12")</f>
        <v>0</v>
      </c>
      <c r="K16" s="87">
        <f t="shared" si="0"/>
        <v>0</v>
      </c>
      <c r="L16" s="88">
        <f t="shared" si="0"/>
        <v>0</v>
      </c>
    </row>
    <row r="17" spans="2:12" ht="21" customHeight="1">
      <c r="B17" s="85" t="s">
        <v>93</v>
      </c>
      <c r="C17" s="89">
        <f t="shared" ref="C17:L17" si="1">SUM(C5:C16)</f>
        <v>0</v>
      </c>
      <c r="D17" s="85">
        <f t="shared" si="1"/>
        <v>0</v>
      </c>
      <c r="E17" s="89">
        <f t="shared" si="1"/>
        <v>91</v>
      </c>
      <c r="F17" s="90">
        <f t="shared" si="1"/>
        <v>188</v>
      </c>
      <c r="G17" s="89">
        <f t="shared" si="1"/>
        <v>0</v>
      </c>
      <c r="H17" s="90">
        <f t="shared" si="1"/>
        <v>0</v>
      </c>
      <c r="I17" s="89">
        <f t="shared" si="1"/>
        <v>4</v>
      </c>
      <c r="J17" s="90">
        <f t="shared" si="1"/>
        <v>21</v>
      </c>
      <c r="K17" s="89">
        <f t="shared" si="1"/>
        <v>95</v>
      </c>
      <c r="L17" s="90">
        <f t="shared" si="1"/>
        <v>209</v>
      </c>
    </row>
  </sheetData>
  <mergeCells count="7">
    <mergeCell ref="B2:B4"/>
    <mergeCell ref="C2:J2"/>
    <mergeCell ref="K2:L3"/>
    <mergeCell ref="C3:D3"/>
    <mergeCell ref="E3:F3"/>
    <mergeCell ref="G3:H3"/>
    <mergeCell ref="I3:J3"/>
  </mergeCells>
  <phoneticPr fontId="3"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13</vt:i4>
      </vt:variant>
    </vt:vector>
  </HeadingPairs>
  <TitlesOfParts>
    <vt:vector size="13" baseType="lpstr">
      <vt:lpstr>Daily</vt:lpstr>
      <vt:lpstr>E-Board</vt:lpstr>
      <vt:lpstr>Weekly Performance</vt:lpstr>
      <vt:lpstr>Monthly Performance</vt:lpstr>
      <vt:lpstr>Yearly Performance</vt:lpstr>
      <vt:lpstr>자체.외주수리비율</vt:lpstr>
      <vt:lpstr>Ionizer</vt:lpstr>
      <vt:lpstr>강영구sum</vt:lpstr>
      <vt:lpstr>장은철sum</vt:lpstr>
      <vt:lpstr>허준영sum</vt:lpstr>
      <vt:lpstr>박병대sum</vt:lpstr>
      <vt:lpstr>최준영sum</vt:lpstr>
      <vt:lpstr>정기수sum</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ChiKyun Kim</cp:lastModifiedBy>
  <dcterms:created xsi:type="dcterms:W3CDTF">2018-09-14T04:02:44Z</dcterms:created>
  <dcterms:modified xsi:type="dcterms:W3CDTF">2021-03-03T07:35:21Z</dcterms:modified>
</cp:coreProperties>
</file>